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расходы на 22 января 2019 года " sheetId="1" r:id="rId1"/>
    <sheet name="расходы на 2019 год" sheetId="2" r:id="rId2"/>
    <sheet name="расходы на 01.03.2019 г." sheetId="3" r:id="rId3"/>
    <sheet name="расходы на 01.04.2019 г." sheetId="4" r:id="rId4"/>
  </sheets>
  <definedNames/>
  <calcPr fullCalcOnLoad="1"/>
</workbook>
</file>

<file path=xl/sharedStrings.xml><?xml version="1.0" encoding="utf-8"?>
<sst xmlns="http://schemas.openxmlformats.org/spreadsheetml/2006/main" count="2982" uniqueCount="173">
  <si>
    <t>Наименование статьи расхода</t>
  </si>
  <si>
    <t>полученные бюджетные ассигнования</t>
  </si>
  <si>
    <t>КФСР</t>
  </si>
  <si>
    <t>КЦСР</t>
  </si>
  <si>
    <t>КВР</t>
  </si>
  <si>
    <t>КОСГУ</t>
  </si>
  <si>
    <t xml:space="preserve">мероприятие </t>
  </si>
  <si>
    <t>Заработная плата</t>
  </si>
  <si>
    <t>01 13</t>
  </si>
  <si>
    <t>Начисления на оплату труда</t>
  </si>
  <si>
    <t>01 02</t>
  </si>
  <si>
    <t>01 04</t>
  </si>
  <si>
    <t>Услуги связи</t>
  </si>
  <si>
    <t>Коммунальные услуги</t>
  </si>
  <si>
    <t>Услуги по содерж.имущества</t>
  </si>
  <si>
    <t>Прочие услуги</t>
  </si>
  <si>
    <t>Прочие расходы</t>
  </si>
  <si>
    <t>Увелич.стоимости матер.запасов</t>
  </si>
  <si>
    <t>Увеличение стоимости ОС</t>
  </si>
  <si>
    <t>01 11</t>
  </si>
  <si>
    <t>02 03</t>
  </si>
  <si>
    <t>03 09</t>
  </si>
  <si>
    <t>03 14</t>
  </si>
  <si>
    <t>04 12</t>
  </si>
  <si>
    <t>05 02</t>
  </si>
  <si>
    <t>05 03</t>
  </si>
  <si>
    <t>08 01</t>
  </si>
  <si>
    <t>11 02</t>
  </si>
  <si>
    <t xml:space="preserve">ВСЕГО ПО БЮДЖЕТУ </t>
  </si>
  <si>
    <t>тип срадств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</si>
  <si>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</si>
  <si>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</si>
  <si>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</si>
  <si>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</si>
  <si>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</si>
  <si>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</si>
  <si>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</si>
  <si>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</si>
  <si>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</si>
  <si>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</si>
  <si>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</si>
  <si>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</si>
  <si>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01.01.00.</t>
  </si>
  <si>
    <t>вода</t>
  </si>
  <si>
    <t>эл/эн</t>
  </si>
  <si>
    <t>газ</t>
  </si>
  <si>
    <t>ГСМ</t>
  </si>
  <si>
    <t>04 09</t>
  </si>
  <si>
    <t>ДК</t>
  </si>
  <si>
    <t>Пенсии, пособия, выплачиваемые организациями сектора государственного управления</t>
  </si>
  <si>
    <t>10 01</t>
  </si>
  <si>
    <t xml:space="preserve">контроль </t>
  </si>
  <si>
    <t xml:space="preserve">административные комиссии </t>
  </si>
  <si>
    <t>всего по разделу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</si>
  <si>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</si>
  <si>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01 06</t>
  </si>
  <si>
    <t>КСП</t>
  </si>
  <si>
    <t>Резервный фонд</t>
  </si>
  <si>
    <t xml:space="preserve">01 11 </t>
  </si>
  <si>
    <t>Подпрограмма "Обеспечение ведения бухгалтерского учета"</t>
  </si>
  <si>
    <t>налоги</t>
  </si>
  <si>
    <t>Подпрограмма "Обеспечение хозяйственного обслуживания администрации Старотитаровского сельского поселения Темрюкского района"</t>
  </si>
  <si>
    <t>Подпрограмма "Обеспечение осуществления закупок товаров, работ и услуг для муниципальных нужд"</t>
  </si>
  <si>
    <t>ТОС</t>
  </si>
  <si>
    <t>всего по лицевому счету       01</t>
  </si>
  <si>
    <t>Обеспечение первичного воинского учета на территориях, где отсутствуют военные комиссариаты</t>
  </si>
  <si>
    <t>Расходы на выплаты персоналу государственных (муниципальных) органов</t>
  </si>
  <si>
    <t>ВУС (з/п)</t>
  </si>
  <si>
    <t>ВУС                   (начисления)</t>
  </si>
  <si>
    <t>всего по лицевому счету       02</t>
  </si>
  <si>
    <t>всего по лицевому счету       03</t>
  </si>
  <si>
    <t>Работы, услуги по содержанию имущества</t>
  </si>
  <si>
    <t>61101S0130</t>
  </si>
  <si>
    <t>всего по лицевому счету       04</t>
  </si>
  <si>
    <t>всего по лицевому счету       05</t>
  </si>
  <si>
    <t>07 07</t>
  </si>
  <si>
    <t>педагогу-организатору</t>
  </si>
  <si>
    <t>всего по лицевому счету       07</t>
  </si>
  <si>
    <t>библиотеки</t>
  </si>
  <si>
    <t>библиотеки интернет</t>
  </si>
  <si>
    <t>библиотеки телефон</t>
  </si>
  <si>
    <t>ДК отопление</t>
  </si>
  <si>
    <t xml:space="preserve"> интернет ДК</t>
  </si>
  <si>
    <t>телефон ДК</t>
  </si>
  <si>
    <t>свет ДК</t>
  </si>
  <si>
    <t xml:space="preserve"> вода ДК</t>
  </si>
  <si>
    <t>свет библиотеки</t>
  </si>
  <si>
    <t>вода библиотеки</t>
  </si>
  <si>
    <t>газ библиотека</t>
  </si>
  <si>
    <t>налоги ДК</t>
  </si>
  <si>
    <t>налоги библиотеки</t>
  </si>
  <si>
    <t xml:space="preserve">краевые </t>
  </si>
  <si>
    <t>Комплектование книжных фондов библиотек муниципальных образований</t>
  </si>
  <si>
    <t>всего по лицевому счету       08</t>
  </si>
  <si>
    <t>10 06</t>
  </si>
  <si>
    <t>всего по лицевому счету       10</t>
  </si>
  <si>
    <t>интернет</t>
  </si>
  <si>
    <t>телефон</t>
  </si>
  <si>
    <t>свет</t>
  </si>
  <si>
    <t>всего по лицевому счету       11</t>
  </si>
  <si>
    <t>сотовая связь</t>
  </si>
  <si>
    <t>электроэнергия</t>
  </si>
  <si>
    <t>вывоз ТКО</t>
  </si>
  <si>
    <t>Подпрограмма "Развитие, эксплуатация и обслуживание информационно-коммуникационных технологий администрации Старотитаровского сельского поселения Темрюкского района на 2018 год"</t>
  </si>
  <si>
    <t>телефонная связь</t>
  </si>
  <si>
    <t>Муниципальная программа "Развитие жилищно-коммунального хозяйства" в Старотитаровском сельском поселении Темрюкского района на 2018 год</t>
  </si>
  <si>
    <t>Подпрограмма "Комплексное развитие систем коммунальной инфраструктуры Старотитаровского сельского поселения Темрюкского района на основе документов территориального планирования" на 2018 год</t>
  </si>
  <si>
    <t>Муниципальная программа "Формирование комфортной городской среды Старотитаровского сельского поселения Темрюкского района на 2018-2022 годы"</t>
  </si>
  <si>
    <t>ДК и библиотеки</t>
  </si>
  <si>
    <t>Обслуживание государственного и муниципального долга</t>
  </si>
  <si>
    <t>13 01</t>
  </si>
  <si>
    <t>кредит  проценты</t>
  </si>
  <si>
    <t>Муниципальная программа "Реализация муниципальных функций, связанных с муниципальным управлением" в Старотитаровском сельском поселеии Темрюкского района на 2019 год</t>
  </si>
  <si>
    <t>ГСМ, запчасти</t>
  </si>
  <si>
    <t>Муниципальная программа "Обеспечение функций муниципальных казенных учреждений" в Старотитаровском сельском поселении Темрюкского района на 2019 год</t>
  </si>
  <si>
    <t>Обеспечение проведения выборов и референдумов</t>
  </si>
  <si>
    <t>01 07</t>
  </si>
  <si>
    <t>Муниципальная программа "Муниципальная политика и развитие гражданского общества" в Старотитаровском сельском поселении Темрюкского района на 2019 год</t>
  </si>
  <si>
    <t>Подпрограмма "Материально-техническое обеспечение и содержание администрации Старотитаровского сельского поселения Темрюкского района" на 2019 год</t>
  </si>
  <si>
    <t>Подпрограмма "Поддержка деятельности территориального общественного самоуправления на территории  Старотитаровского сельского поселения Темрюкского района" на 2019 год</t>
  </si>
  <si>
    <t>Подпрограмма "О мероприятиях в области энергосбережения и повышения энергетической эффективности на территории Старотитаровского сельского поселения Темрюкского района" на 2019 год</t>
  </si>
  <si>
    <t>Подпрограмма "Реализция муниципальной политики в сфере приватизации муниципального имущества Старотитаровского сельского поселения Темрюкского района" на 2019 год</t>
  </si>
  <si>
    <t>Муниципальная программа "Развитие информационного общества" в Старотитаровском сельском поселении Темрюкского района на 2019 год</t>
  </si>
  <si>
    <t>Подпрограмма "Обеспечение информационного освещения деятельности администрации Старотитаровского сельского поселения Темрюкского района" на 2019 год</t>
  </si>
  <si>
    <t>Муниципальная программа "О мероприятиях, проводимых администрацией Старотитаровского сельского поселения Темрюкского района к праздничным дням и памятным датам" на 2019 год</t>
  </si>
  <si>
    <t>Муниципальная программа "Формирование доступной среды жизнедеятельности для инвалидов" в Старотитаровском сельском поселении Темрюкского района  на 2019 год</t>
  </si>
  <si>
    <t>Муниципальная программа "Обеспечение безопасности населения в Старотитаровском сельском поселении Темрюкского района" на 2019 год</t>
  </si>
  <si>
    <t>Подпрограмма "Защита населения и территорий Старотитаровского сельского поселения Темрюкского района от чрезвычайных ситуаций" на 2019 год</t>
  </si>
  <si>
    <t>Подпрограмма "Обеспечение первичных мер пожарной безопасности в Старотитаровском сельском поселении Темрюкского района" на 2019 год</t>
  </si>
  <si>
    <t>Подпрограмма "Укрепление правопорядка, профилактика правонарушений, усиление борьбы с преступностью в Старотитаровском сельском поселении Темрюкского района" на 2019 год</t>
  </si>
  <si>
    <t>Муниципальная программа "Противодействие коррупции  в Старотитаровском сельском поселении Темрюкского района" на 2019 год</t>
  </si>
  <si>
    <t>Муниципальная программа "Комплексное и устойчивое развитие Старотитаровского сельского поселения Темрюкского района в сфере строительства, архитектуры и дорожного хозяйства" на 2019 год</t>
  </si>
  <si>
    <t>Подпрограмма "Капитальный ремонт и ремонт автомобильных дорог местного значения Старотитаровского сельского поселения Темрюкского района" на 2019 год</t>
  </si>
  <si>
    <t>Подпрограмма "Повышение безопасности дорожного движения на территории Старотитаровского сельского поселения Темрюкского района" на 2019 год</t>
  </si>
  <si>
    <t>Муниципальная программа "Комплексное развитие транспорной инфраструктуры Старотитаровского сельского поселения Темрюкского района на 2019 год"</t>
  </si>
  <si>
    <t>Муниципальная программа "Поддержка и развитие малого и среднего предпринимательства" в Старотитаровском сельском поселении Темрюкского района на 2019 год</t>
  </si>
  <si>
    <t>Муниципальная программа "О подготовке землеустроительной документации на территории Старотитаровского сельского поселения Темрюкского района" на 2019 год</t>
  </si>
  <si>
    <t>Подпрограмма "Комплексное развитие систем коммунальной инфраструктуры Старотитаровского сельского поселения Темрюкского района на основе документов территориального планирования" на 2019 год</t>
  </si>
  <si>
    <t>Муниципальная программа "Развитие жилищно-коммунального хозяйства" в Старотитаровском сельском поселении Темрюкского района на 2019 год</t>
  </si>
  <si>
    <t>Подпрограмма "Поддержка коммунального хозяйства" в Старотитаровском сельском поселении Темрюкского района  на 2019 год</t>
  </si>
  <si>
    <t>Подпрограмма "Развитие водоснабжения  в Старотитаровском сельском поселении Темрюкского района"  на 2019 год</t>
  </si>
  <si>
    <t>Подпрограмма "Развитие водоотведения  в Старотитаровском сельском поселении Темрюкского района"  на 2019 год</t>
  </si>
  <si>
    <t>Подпрограмма "По обеспечению земельных участков инженерной инфраструктурой в целях жилищного 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на 2019 год</t>
  </si>
  <si>
    <t>Подпрограмма "Устойчивое развитие сельских территорий в Старотитаровском сельском поселении Темрюкского района"  на 2019 год</t>
  </si>
  <si>
    <t>Подпрограмма "Благоустройство территории Старотитаровского сельского поселения Темрюкского района"  на 2019 год</t>
  </si>
  <si>
    <t>Подпрограмма "Развитие и реконструкция (ремонт) систем наружного освещения Старотитаровского сельского поселения Темрюкского района" на 2019 год</t>
  </si>
  <si>
    <t>Муниципальная программа "Комплексное развитие социальной инфраструктуры Старотитаровского сельского поселения Темрюкского района на 2019 год"</t>
  </si>
  <si>
    <t>Муниципальная программа "Молодежь станицы" Старотитаровского сельского поселения Темрюкского района на 2019 год</t>
  </si>
  <si>
    <t>Муниципальная программа "Развитие культуры Старотитаровского сельского поселения Темрюкского района" на 2019 год</t>
  </si>
  <si>
    <t>Подпрограмма "Поддержка МБУ "Старотитаровский КСЦ" на 2019 год</t>
  </si>
  <si>
    <t>Подпрограмма "Совершенствование деятельности МБУ "Старотитаровский КСЦ" по предоставлению муниципальных услуг" на 2019 год</t>
  </si>
  <si>
    <t>Подпрограмма "Кадровое обеспечение сферы культуры и искусства Старотитаровского сельского поселения Темрюкского района" на 2019 год</t>
  </si>
  <si>
    <t xml:space="preserve">на поэтап повышение зп и стимулир выплаты </t>
  </si>
  <si>
    <t>Подпрограмма "Основные направления развития культуры Старотитаровского сельского поселения Темрюкского района" на 2019 год</t>
  </si>
  <si>
    <t>Муниципальная программа "Формирование доступной среды жизнедеятельности для инвалидов" в Старотитаровском сельском поселении Темрюкского района" на 2019 год</t>
  </si>
  <si>
    <t>Муниципальная программа "Сохранение, использование и охрана объектов культурного наследия (памятников истории и культуры) местного значения, расположенных на территории Старотитаровского сельского поселения Темрюкского района" на 2019 год</t>
  </si>
  <si>
    <t>Муниципальная программа "Пенсионное обеспечение за выслугу лет лицам, замещавшим муниципальные должности и должности муниципальной службы  Старотитаровского сельского поселения Темрюкского района" на 2019 год</t>
  </si>
  <si>
    <t>Муниципальная программа "Поддержка социально ориентированных некоммерческих организаций, осуществляющих деятельность на территории  Старотитаровского сельского поселения Темрюкского района" на 2019 год</t>
  </si>
  <si>
    <t>Муниципальная программа "Развитие физической культуры и массового спорта на территории Старотитаровского сельского поселения Темрюкского района" на 2019 год</t>
  </si>
  <si>
    <t>Подпрограмма "Совершенствование деятельности МБУ "ФОСК "Виктория" по предоставлению муниципальных услуг" на 2019 год</t>
  </si>
  <si>
    <t>Подпрограмма "Развитие массового спорта в Старотитаровском сельском поселении Темрюкского района" на 2019 год</t>
  </si>
  <si>
    <t>Подпрограмма "Создание условий для занятия физической культурой и спортом на территории Старотитаровского сельского поселения Темрюкского района" на 2019 год</t>
  </si>
  <si>
    <t>Глава Старотитаровского сельского поселения Темрюкского района</t>
  </si>
  <si>
    <t>А.Г. Титаренко</t>
  </si>
  <si>
    <t>Начальник финансового отдела</t>
  </si>
  <si>
    <t>администрации  Старотитаровского сельского поселения Темрюкского района</t>
  </si>
  <si>
    <t>Л.В. Кубрак</t>
  </si>
  <si>
    <t>КАССОВЫЙ ПЛАН Старотитаровского сельского поселения Темрюкского района на 2019 год</t>
  </si>
  <si>
    <t>КАССОВЫЙ ПЛАН Старотитаровского сельского поселения Темрюкского района на 22.01.2019</t>
  </si>
  <si>
    <t>64501S0220</t>
  </si>
  <si>
    <t xml:space="preserve">Подпрограмма "По обеспечению земельных участков инженерной инфраструктурой в целях жилищного троительства, в том числе жилья эконом-класса и жилья из быстровозводимых конструкций на территории Старотитаровского сельского поселения Темрюкского района"  на </t>
  </si>
  <si>
    <t>КАССОВЫЙ ПЛАН Старотитаровского сельского поселения Темрюкского района на 01.03.2019 года</t>
  </si>
  <si>
    <t>КАССОВЫЙ ПЛАН Старотитаровского сельского поселения Темрюкского района на 01.04.2019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</si>
</sst>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7">
    <font>
      <sz val="10"/>
      <name val="Arial"/>
      <family val="0"/>
    </font>
    <font>
      <b/>
      <sz val="10"/>
      <name val="Arial"/>
      <family val="2"/>
    </font>
    <font>
      <b/>
      <sz val="10"/>
      <color indexed="21"/>
      <name val="Arial"/>
      <family val="0"/>
    </font>
    <font>
      <b/>
      <sz val="10"/>
      <color indexed="12"/>
      <name val="Arial"/>
      <family val="0"/>
    </font>
    <font>
      <sz val="10"/>
      <color indexed="10"/>
      <name val="Arial"/>
      <family val="0"/>
    </font>
    <font>
      <b/>
      <sz val="11"/>
      <color indexed="12"/>
      <name val="Arial"/>
      <family val="0"/>
    </font>
    <font>
      <b/>
      <sz val="10"/>
      <color indexed="10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3" xfId="0" applyFont="1" applyBorder="1" applyAlignment="1">
      <alignment horizontal="left" vertical="center" wrapText="1"/>
    </xf>
    <xf numFmtId="14" fontId="0" fillId="0" borderId="10" xfId="0" applyNumberFormat="1" applyBorder="1" applyAlignment="1">
      <alignment horizontal="right"/>
    </xf>
    <xf numFmtId="0" fontId="1" fillId="0" borderId="14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Fill="1" applyBorder="1" applyAlignment="1">
      <alignment/>
    </xf>
    <xf numFmtId="4" fontId="0" fillId="4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0" fillId="4" borderId="10" xfId="0" applyNumberForma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0" fillId="4" borderId="10" xfId="0" applyNumberFormat="1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4" borderId="1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4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4" borderId="10" xfId="0" applyNumberForma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vertical="top" wrapText="1"/>
    </xf>
    <xf numFmtId="0" fontId="1" fillId="4" borderId="10" xfId="0" applyFont="1" applyFill="1" applyBorder="1" applyAlignment="1">
      <alignment horizontal="center"/>
    </xf>
    <xf numFmtId="0" fontId="2" fillId="0" borderId="10" xfId="0" applyFont="1" applyBorder="1" applyAlignment="1">
      <alignment/>
    </xf>
    <xf numFmtId="4" fontId="0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right"/>
    </xf>
    <xf numFmtId="0" fontId="1" fillId="4" borderId="11" xfId="0" applyFont="1" applyFill="1" applyBorder="1" applyAlignment="1">
      <alignment vertical="top" wrapText="1"/>
    </xf>
    <xf numFmtId="0" fontId="0" fillId="4" borderId="10" xfId="0" applyFont="1" applyFill="1" applyBorder="1" applyAlignment="1">
      <alignment horizontal="right"/>
    </xf>
    <xf numFmtId="0" fontId="1" fillId="4" borderId="10" xfId="0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4" fontId="1" fillId="4" borderId="10" xfId="0" applyNumberFormat="1" applyFont="1" applyFill="1" applyBorder="1" applyAlignment="1">
      <alignment horizontal="center" vertical="center"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right"/>
    </xf>
    <xf numFmtId="49" fontId="0" fillId="0" borderId="10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0" borderId="11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horizontal="right"/>
    </xf>
    <xf numFmtId="4" fontId="0" fillId="4" borderId="10" xfId="0" applyNumberFormat="1" applyFont="1" applyFill="1" applyBorder="1" applyAlignment="1">
      <alignment horizontal="center" vertical="center"/>
    </xf>
    <xf numFmtId="49" fontId="0" fillId="8" borderId="10" xfId="0" applyNumberFormat="1" applyFill="1" applyBorder="1" applyAlignment="1">
      <alignment horizontal="center" vertical="center"/>
    </xf>
    <xf numFmtId="0" fontId="3" fillId="8" borderId="15" xfId="0" applyFont="1" applyFill="1" applyBorder="1" applyAlignment="1">
      <alignment/>
    </xf>
    <xf numFmtId="0" fontId="3" fillId="8" borderId="12" xfId="0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wrapText="1"/>
    </xf>
    <xf numFmtId="0" fontId="0" fillId="8" borderId="1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4" fontId="0" fillId="0" borderId="10" xfId="0" applyNumberFormat="1" applyFont="1" applyFill="1" applyBorder="1" applyAlignment="1">
      <alignment/>
    </xf>
    <xf numFmtId="0" fontId="0" fillId="0" borderId="13" xfId="0" applyBorder="1" applyAlignment="1">
      <alignment horizontal="left" vertical="center"/>
    </xf>
    <xf numFmtId="4" fontId="0" fillId="8" borderId="10" xfId="0" applyNumberFormat="1" applyFont="1" applyFill="1" applyBorder="1" applyAlignment="1">
      <alignment/>
    </xf>
    <xf numFmtId="4" fontId="3" fillId="8" borderId="10" xfId="0" applyNumberFormat="1" applyFont="1" applyFill="1" applyBorder="1" applyAlignment="1">
      <alignment/>
    </xf>
    <xf numFmtId="0" fontId="1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4" fontId="2" fillId="4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center" vertical="center"/>
    </xf>
    <xf numFmtId="4" fontId="3" fillId="8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0" fillId="8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 wrapText="1"/>
    </xf>
    <xf numFmtId="0" fontId="0" fillId="0" borderId="13" xfId="0" applyBorder="1" applyAlignment="1">
      <alignment/>
    </xf>
    <xf numFmtId="4" fontId="0" fillId="0" borderId="10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left" vertical="top" wrapText="1"/>
    </xf>
    <xf numFmtId="4" fontId="2" fillId="0" borderId="10" xfId="0" applyNumberFormat="1" applyFont="1" applyFill="1" applyBorder="1" applyAlignment="1">
      <alignment horizontal="center"/>
    </xf>
    <xf numFmtId="4" fontId="2" fillId="4" borderId="10" xfId="0" applyNumberFormat="1" applyFont="1" applyFill="1" applyBorder="1" applyAlignment="1">
      <alignment horizontal="center"/>
    </xf>
    <xf numFmtId="4" fontId="0" fillId="8" borderId="10" xfId="0" applyNumberFormat="1" applyFont="1" applyFill="1" applyBorder="1" applyAlignment="1">
      <alignment horizontal="right"/>
    </xf>
    <xf numFmtId="4" fontId="3" fillId="8" borderId="10" xfId="0" applyNumberFormat="1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49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" fontId="5" fillId="4" borderId="10" xfId="0" applyNumberFormat="1" applyFont="1" applyFill="1" applyBorder="1" applyAlignment="1">
      <alignment/>
    </xf>
    <xf numFmtId="4" fontId="0" fillId="4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Border="1" applyAlignment="1">
      <alignment/>
    </xf>
    <xf numFmtId="0" fontId="0" fillId="0" borderId="10" xfId="0" applyFill="1" applyBorder="1" applyAlignment="1">
      <alignment horizontal="right" wrapText="1"/>
    </xf>
    <xf numFmtId="49" fontId="0" fillId="0" borderId="10" xfId="0" applyNumberForma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0" xfId="0" applyFill="1" applyBorder="1" applyAlignment="1">
      <alignment horizontal="left"/>
    </xf>
    <xf numFmtId="4" fontId="1" fillId="4" borderId="10" xfId="0" applyNumberFormat="1" applyFont="1" applyFill="1" applyBorder="1" applyAlignment="1">
      <alignment horizontal="right" vertical="center"/>
    </xf>
    <xf numFmtId="0" fontId="1" fillId="4" borderId="13" xfId="0" applyFont="1" applyFill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 horizontal="right" wrapText="1"/>
    </xf>
    <xf numFmtId="0" fontId="1" fillId="4" borderId="13" xfId="0" applyFont="1" applyFill="1" applyBorder="1" applyAlignment="1">
      <alignment wrapText="1"/>
    </xf>
    <xf numFmtId="4" fontId="1" fillId="4" borderId="10" xfId="0" applyNumberFormat="1" applyFont="1" applyFill="1" applyBorder="1" applyAlignment="1">
      <alignment horizontal="right"/>
    </xf>
    <xf numFmtId="4" fontId="1" fillId="4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4" borderId="10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0" fontId="4" fillId="4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vertical="center"/>
    </xf>
    <xf numFmtId="0" fontId="6" fillId="8" borderId="16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8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0" fontId="4" fillId="8" borderId="10" xfId="0" applyFont="1" applyFill="1" applyBorder="1" applyAlignment="1">
      <alignment horizontal="left"/>
    </xf>
    <xf numFmtId="0" fontId="4" fillId="8" borderId="10" xfId="0" applyFont="1" applyFill="1" applyBorder="1" applyAlignment="1">
      <alignment horizontal="center"/>
    </xf>
    <xf numFmtId="0" fontId="6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/>
    </xf>
    <xf numFmtId="0" fontId="6" fillId="8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right" wrapText="1"/>
    </xf>
    <xf numFmtId="0" fontId="1" fillId="4" borderId="10" xfId="0" applyFont="1" applyFill="1" applyBorder="1" applyAlignment="1">
      <alignment horizontal="left"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wrapText="1"/>
    </xf>
    <xf numFmtId="4" fontId="1" fillId="4" borderId="10" xfId="0" applyNumberFormat="1" applyFont="1" applyFill="1" applyBorder="1" applyAlignment="1">
      <alignment/>
    </xf>
    <xf numFmtId="4" fontId="1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" fontId="0" fillId="4" borderId="10" xfId="0" applyNumberFormat="1" applyFont="1" applyFill="1" applyBorder="1" applyAlignment="1">
      <alignment horizontal="right"/>
    </xf>
    <xf numFmtId="49" fontId="0" fillId="0" borderId="0" xfId="0" applyNumberFormat="1" applyAlignment="1">
      <alignment horizontal="left" vertical="center"/>
    </xf>
    <xf numFmtId="4" fontId="0" fillId="18" borderId="10" xfId="0" applyNumberFormat="1" applyFont="1" applyFill="1" applyBorder="1" applyAlignment="1">
      <alignment/>
    </xf>
    <xf numFmtId="4" fontId="0" fillId="24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49" fontId="0" fillId="25" borderId="10" xfId="0" applyNumberFormat="1" applyFill="1" applyBorder="1" applyAlignment="1">
      <alignment horizontal="center" vertical="center"/>
    </xf>
    <xf numFmtId="0" fontId="2" fillId="25" borderId="11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1" fillId="25" borderId="10" xfId="0" applyFont="1" applyFill="1" applyBorder="1" applyAlignment="1">
      <alignment horizontal="center"/>
    </xf>
    <xf numFmtId="0" fontId="1" fillId="25" borderId="10" xfId="0" applyFont="1" applyFill="1" applyBorder="1" applyAlignment="1">
      <alignment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/>
    </xf>
    <xf numFmtId="4" fontId="0" fillId="25" borderId="0" xfId="0" applyNumberFormat="1" applyFont="1" applyFill="1" applyAlignment="1">
      <alignment/>
    </xf>
    <xf numFmtId="0" fontId="0" fillId="25" borderId="0" xfId="0" applyFill="1" applyAlignment="1">
      <alignment/>
    </xf>
    <xf numFmtId="4" fontId="25" fillId="24" borderId="10" xfId="0" applyNumberFormat="1" applyFont="1" applyFill="1" applyBorder="1" applyAlignment="1">
      <alignment/>
    </xf>
    <xf numFmtId="4" fontId="0" fillId="17" borderId="0" xfId="0" applyNumberFormat="1" applyFill="1" applyAlignment="1">
      <alignment/>
    </xf>
    <xf numFmtId="4" fontId="0" fillId="17" borderId="0" xfId="0" applyNumberFormat="1" applyFont="1" applyFill="1" applyAlignment="1">
      <alignment/>
    </xf>
    <xf numFmtId="0" fontId="0" fillId="0" borderId="10" xfId="0" applyFont="1" applyFill="1" applyBorder="1" applyAlignment="1">
      <alignment vertical="center"/>
    </xf>
    <xf numFmtId="4" fontId="0" fillId="0" borderId="1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49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0" fillId="4" borderId="10" xfId="0" applyNumberFormat="1" applyFont="1" applyFill="1" applyBorder="1" applyAlignment="1">
      <alignment/>
    </xf>
    <xf numFmtId="2" fontId="1" fillId="0" borderId="17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49" fontId="1" fillId="0" borderId="18" xfId="0" applyNumberFormat="1" applyFont="1" applyBorder="1" applyAlignment="1">
      <alignment horizontal="center" vertical="center" wrapText="1"/>
    </xf>
    <xf numFmtId="49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left" vertical="center"/>
    </xf>
    <xf numFmtId="2" fontId="1" fillId="0" borderId="22" xfId="0" applyNumberFormat="1" applyFont="1" applyFill="1" applyBorder="1" applyAlignment="1">
      <alignment horizontal="center" vertical="center" wrapText="1"/>
    </xf>
    <xf numFmtId="2" fontId="1" fillId="0" borderId="23" xfId="0" applyNumberFormat="1" applyFont="1" applyFill="1" applyBorder="1" applyAlignment="1">
      <alignment horizontal="center" vertical="center" wrapText="1"/>
    </xf>
    <xf numFmtId="4" fontId="0" fillId="0" borderId="24" xfId="0" applyNumberFormat="1" applyFont="1" applyFill="1" applyBorder="1" applyAlignment="1">
      <alignment horizontal="right" wrapText="1"/>
    </xf>
    <xf numFmtId="4" fontId="0" fillId="0" borderId="25" xfId="0" applyNumberFormat="1" applyFont="1" applyFill="1" applyBorder="1" applyAlignment="1">
      <alignment horizontal="right" wrapText="1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358"/>
  <sheetViews>
    <sheetView zoomScalePageLayoutView="0" workbookViewId="0" topLeftCell="A1">
      <selection activeCell="T82" sqref="T82"/>
    </sheetView>
  </sheetViews>
  <sheetFormatPr defaultColWidth="9.140625" defaultRowHeight="12.75"/>
  <cols>
    <col min="1" max="1" width="10.421875" style="4" customWidth="1"/>
    <col min="2" max="2" width="30.28125" style="0" customWidth="1"/>
    <col min="4" max="4" width="13.00390625" style="0" customWidth="1"/>
    <col min="5" max="5" width="5.8515625" style="0" customWidth="1"/>
    <col min="6" max="6" width="4.7109375" style="0" customWidth="1"/>
    <col min="7" max="7" width="12.28125" style="0" customWidth="1"/>
    <col min="8" max="8" width="17.00390625" style="0" customWidth="1"/>
    <col min="9" max="9" width="14.28125" style="0" customWidth="1"/>
    <col min="10" max="10" width="17.140625" style="0" customWidth="1"/>
    <col min="11" max="11" width="13.421875" style="0" customWidth="1"/>
    <col min="12" max="12" width="14.28125" style="0" customWidth="1"/>
    <col min="13" max="13" width="13.7109375" style="0" customWidth="1"/>
    <col min="14" max="14" width="15.00390625" style="0" customWidth="1"/>
    <col min="15" max="15" width="15.7109375" style="0" customWidth="1"/>
    <col min="16" max="16" width="14.28125" style="0" customWidth="1"/>
    <col min="17" max="17" width="13.57421875" style="0" customWidth="1"/>
    <col min="18" max="18" width="14.00390625" style="0" customWidth="1"/>
    <col min="19" max="19" width="16.140625" style="0" customWidth="1"/>
    <col min="20" max="20" width="13.8515625" style="0" customWidth="1"/>
    <col min="21" max="21" width="13.8515625" style="0" hidden="1" customWidth="1"/>
    <col min="22" max="22" width="15.7109375" style="0" customWidth="1"/>
  </cols>
  <sheetData>
    <row r="2" spans="1:20" ht="15.75">
      <c r="A2" s="218" t="s">
        <v>168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thickBot="1"/>
    <row r="4" spans="1:20" ht="12.75">
      <c r="A4" s="219" t="s">
        <v>29</v>
      </c>
      <c r="B4" s="221" t="s">
        <v>0</v>
      </c>
      <c r="C4" s="223"/>
      <c r="D4" s="223"/>
      <c r="E4" s="223"/>
      <c r="F4" s="223"/>
      <c r="G4" s="223"/>
      <c r="H4" s="224" t="s">
        <v>1</v>
      </c>
      <c r="I4" s="216" t="s">
        <v>30</v>
      </c>
      <c r="J4" s="216" t="s">
        <v>31</v>
      </c>
      <c r="K4" s="216" t="s">
        <v>32</v>
      </c>
      <c r="L4" s="216" t="s">
        <v>33</v>
      </c>
      <c r="M4" s="216" t="s">
        <v>34</v>
      </c>
      <c r="N4" s="216" t="s">
        <v>35</v>
      </c>
      <c r="O4" s="216" t="s">
        <v>36</v>
      </c>
      <c r="P4" s="216" t="s">
        <v>37</v>
      </c>
      <c r="Q4" s="216" t="s">
        <v>38</v>
      </c>
      <c r="R4" s="216" t="s">
        <v>39</v>
      </c>
      <c r="S4" s="216" t="s">
        <v>40</v>
      </c>
      <c r="T4" s="227" t="s">
        <v>41</v>
      </c>
    </row>
    <row r="5" spans="1:21" ht="26.25" thickBot="1">
      <c r="A5" s="220"/>
      <c r="B5" s="222"/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225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28"/>
      <c r="U5" s="22" t="s">
        <v>51</v>
      </c>
    </row>
    <row r="6" spans="1:22" ht="12.75">
      <c r="A6" s="5" t="s">
        <v>42</v>
      </c>
      <c r="B6" s="3" t="s">
        <v>7</v>
      </c>
      <c r="C6" s="144" t="s">
        <v>10</v>
      </c>
      <c r="D6" s="145">
        <v>9010000190</v>
      </c>
      <c r="E6" s="145">
        <v>121</v>
      </c>
      <c r="F6" s="7">
        <v>211</v>
      </c>
      <c r="G6" s="1"/>
      <c r="H6" s="15">
        <f>914100+9</f>
        <v>914109</v>
      </c>
      <c r="I6" s="18">
        <f>72500+3625</f>
        <v>76125</v>
      </c>
      <c r="J6" s="18">
        <f>72500+3625+9</f>
        <v>76134</v>
      </c>
      <c r="K6" s="18">
        <f aca="true" t="shared" si="0" ref="K6:T6">72500+3625</f>
        <v>76125</v>
      </c>
      <c r="L6" s="18">
        <f t="shared" si="0"/>
        <v>76125</v>
      </c>
      <c r="M6" s="18">
        <f t="shared" si="0"/>
        <v>76125</v>
      </c>
      <c r="N6" s="18">
        <f t="shared" si="0"/>
        <v>76125</v>
      </c>
      <c r="O6" s="18">
        <f t="shared" si="0"/>
        <v>76125</v>
      </c>
      <c r="P6" s="18">
        <f t="shared" si="0"/>
        <v>76125</v>
      </c>
      <c r="Q6" s="18">
        <f t="shared" si="0"/>
        <v>76125</v>
      </c>
      <c r="R6" s="18">
        <f t="shared" si="0"/>
        <v>76125</v>
      </c>
      <c r="S6" s="18">
        <f>72500+3625+600</f>
        <v>76725</v>
      </c>
      <c r="T6" s="18">
        <f t="shared" si="0"/>
        <v>76125</v>
      </c>
      <c r="U6" s="21">
        <f aca="true" t="shared" si="1" ref="U6:U23">I6+J6+K6+L6+M6+N6+O6+P6+Q6+R6+S6+T6</f>
        <v>914109</v>
      </c>
      <c r="V6" s="21">
        <f>SUM(I6:T6)</f>
        <v>914109</v>
      </c>
    </row>
    <row r="7" spans="1:22" ht="12.75">
      <c r="A7" s="5" t="s">
        <v>42</v>
      </c>
      <c r="B7" s="3" t="s">
        <v>9</v>
      </c>
      <c r="C7" s="144" t="s">
        <v>10</v>
      </c>
      <c r="D7" s="145">
        <v>9010000190</v>
      </c>
      <c r="E7" s="145">
        <v>129</v>
      </c>
      <c r="F7" s="7">
        <v>213</v>
      </c>
      <c r="G7" s="1"/>
      <c r="H7" s="15">
        <f>276100-9</f>
        <v>276091</v>
      </c>
      <c r="I7" s="18">
        <f>21900+1100</f>
        <v>23000</v>
      </c>
      <c r="J7" s="18">
        <f>21900+1100-9</f>
        <v>22991</v>
      </c>
      <c r="K7" s="18">
        <f aca="true" t="shared" si="2" ref="K7:T7">21900+1100</f>
        <v>23000</v>
      </c>
      <c r="L7" s="18">
        <f t="shared" si="2"/>
        <v>23000</v>
      </c>
      <c r="M7" s="18">
        <f t="shared" si="2"/>
        <v>23000</v>
      </c>
      <c r="N7" s="18">
        <f t="shared" si="2"/>
        <v>23000</v>
      </c>
      <c r="O7" s="18">
        <f t="shared" si="2"/>
        <v>23000</v>
      </c>
      <c r="P7" s="18">
        <f t="shared" si="2"/>
        <v>23000</v>
      </c>
      <c r="Q7" s="18">
        <f t="shared" si="2"/>
        <v>23000</v>
      </c>
      <c r="R7" s="18">
        <f t="shared" si="2"/>
        <v>23000</v>
      </c>
      <c r="S7" s="18">
        <f>21900+1200</f>
        <v>23100</v>
      </c>
      <c r="T7" s="18">
        <f t="shared" si="2"/>
        <v>23000</v>
      </c>
      <c r="U7" s="21">
        <f t="shared" si="1"/>
        <v>276091</v>
      </c>
      <c r="V7" s="21">
        <f>SUM(I7:T7)</f>
        <v>276091</v>
      </c>
    </row>
    <row r="8" spans="1:22" ht="15.75" customHeight="1">
      <c r="A8" s="5" t="s">
        <v>42</v>
      </c>
      <c r="B8" s="11" t="s">
        <v>15</v>
      </c>
      <c r="C8" s="144" t="s">
        <v>10</v>
      </c>
      <c r="D8" s="145">
        <v>9010000190</v>
      </c>
      <c r="E8" s="145">
        <v>244</v>
      </c>
      <c r="F8" s="7">
        <v>226</v>
      </c>
      <c r="G8" s="6"/>
      <c r="H8" s="15">
        <v>3300</v>
      </c>
      <c r="I8" s="18">
        <v>0</v>
      </c>
      <c r="J8" s="18">
        <v>0</v>
      </c>
      <c r="K8" s="18">
        <v>0</v>
      </c>
      <c r="L8" s="18">
        <v>1100</v>
      </c>
      <c r="M8" s="18">
        <v>0</v>
      </c>
      <c r="N8" s="18">
        <v>0</v>
      </c>
      <c r="O8" s="18">
        <v>1100</v>
      </c>
      <c r="P8" s="18">
        <v>0</v>
      </c>
      <c r="Q8" s="18">
        <v>0</v>
      </c>
      <c r="R8" s="18">
        <v>1100</v>
      </c>
      <c r="S8" s="18">
        <v>0</v>
      </c>
      <c r="T8" s="18">
        <v>0</v>
      </c>
      <c r="U8" s="21">
        <f t="shared" si="1"/>
        <v>3300</v>
      </c>
      <c r="V8" s="21">
        <f aca="true" t="shared" si="3" ref="V8:V71">SUM(I8:T8)</f>
        <v>3300</v>
      </c>
    </row>
    <row r="9" spans="1:22" ht="12.75">
      <c r="A9" s="5"/>
      <c r="B9" s="29" t="s">
        <v>53</v>
      </c>
      <c r="C9" s="146" t="s">
        <v>10</v>
      </c>
      <c r="D9" s="115"/>
      <c r="E9" s="115"/>
      <c r="F9" s="115"/>
      <c r="G9" s="29"/>
      <c r="H9" s="14">
        <f aca="true" t="shared" si="4" ref="H9:T9">H6+H7+H8</f>
        <v>1193500</v>
      </c>
      <c r="I9" s="14">
        <f t="shared" si="4"/>
        <v>99125</v>
      </c>
      <c r="J9" s="14">
        <f t="shared" si="4"/>
        <v>99125</v>
      </c>
      <c r="K9" s="14">
        <f t="shared" si="4"/>
        <v>99125</v>
      </c>
      <c r="L9" s="14">
        <f t="shared" si="4"/>
        <v>100225</v>
      </c>
      <c r="M9" s="14">
        <f t="shared" si="4"/>
        <v>99125</v>
      </c>
      <c r="N9" s="14">
        <f t="shared" si="4"/>
        <v>99125</v>
      </c>
      <c r="O9" s="14">
        <f t="shared" si="4"/>
        <v>100225</v>
      </c>
      <c r="P9" s="14">
        <f t="shared" si="4"/>
        <v>99125</v>
      </c>
      <c r="Q9" s="14">
        <f t="shared" si="4"/>
        <v>99125</v>
      </c>
      <c r="R9" s="14">
        <f t="shared" si="4"/>
        <v>100225</v>
      </c>
      <c r="S9" s="14">
        <f t="shared" si="4"/>
        <v>99825</v>
      </c>
      <c r="T9" s="14">
        <f t="shared" si="4"/>
        <v>99125</v>
      </c>
      <c r="U9" s="23">
        <f t="shared" si="1"/>
        <v>1193500</v>
      </c>
      <c r="V9" s="199">
        <f t="shared" si="3"/>
        <v>1193500</v>
      </c>
    </row>
    <row r="10" spans="1:22" ht="93.75" customHeight="1">
      <c r="A10" s="26" t="s">
        <v>42</v>
      </c>
      <c r="B10" s="27" t="s">
        <v>112</v>
      </c>
      <c r="C10" s="148" t="s">
        <v>11</v>
      </c>
      <c r="D10" s="148">
        <v>5100000000</v>
      </c>
      <c r="E10" s="117"/>
      <c r="F10" s="117"/>
      <c r="G10" s="28"/>
      <c r="H10" s="38">
        <f>H11+H12+H13+H14+H15+H16+H17+H18+H20+H21+H19+H22+H23+H24+H25</f>
        <v>6734400</v>
      </c>
      <c r="I10" s="38">
        <f>I11+I12+I13+I14+I15+I16+I17+I18+I20+I21+I19+I22+I23</f>
        <v>248100</v>
      </c>
      <c r="J10" s="38">
        <f>J11+J12+J13+J14+J15+J16+J17+J18+J20+J21+J19+J22+J23</f>
        <v>359131</v>
      </c>
      <c r="K10" s="38">
        <f aca="true" t="shared" si="5" ref="K10:U10">K11+K12+K13+K14+K15+K16+K17+K18+K20+K21+K19+K22+K23</f>
        <v>309829</v>
      </c>
      <c r="L10" s="38">
        <f t="shared" si="5"/>
        <v>434700</v>
      </c>
      <c r="M10" s="38">
        <f t="shared" si="5"/>
        <v>448200</v>
      </c>
      <c r="N10" s="38">
        <f t="shared" si="5"/>
        <v>419100</v>
      </c>
      <c r="O10" s="38">
        <f t="shared" si="5"/>
        <v>443600</v>
      </c>
      <c r="P10" s="38">
        <f t="shared" si="5"/>
        <v>649100</v>
      </c>
      <c r="Q10" s="38">
        <f t="shared" si="5"/>
        <v>418200</v>
      </c>
      <c r="R10" s="38">
        <f t="shared" si="5"/>
        <v>831200</v>
      </c>
      <c r="S10" s="38">
        <f t="shared" si="5"/>
        <v>810450</v>
      </c>
      <c r="T10" s="38">
        <f t="shared" si="5"/>
        <v>1356790</v>
      </c>
      <c r="U10" s="38">
        <f t="shared" si="5"/>
        <v>6728400</v>
      </c>
      <c r="V10" s="38">
        <f>V11+V12+V19+V22+V23+V24+V25</f>
        <v>6734400</v>
      </c>
    </row>
    <row r="11" spans="1:22" ht="12.75">
      <c r="A11" s="5" t="s">
        <v>42</v>
      </c>
      <c r="B11" s="3" t="s">
        <v>7</v>
      </c>
      <c r="C11" s="144" t="s">
        <v>11</v>
      </c>
      <c r="D11" s="145">
        <v>5110100190</v>
      </c>
      <c r="E11" s="145">
        <v>121</v>
      </c>
      <c r="F11" s="144">
        <v>211</v>
      </c>
      <c r="G11" s="1"/>
      <c r="H11" s="15">
        <f>4878100+2100+5931</f>
        <v>4886131</v>
      </c>
      <c r="I11" s="12">
        <f>196900+9500</f>
        <v>206400</v>
      </c>
      <c r="J11" s="12">
        <f>296900+9500+2100+5931</f>
        <v>314431</v>
      </c>
      <c r="K11" s="12">
        <f>266900+9500</f>
        <v>276400</v>
      </c>
      <c r="L11" s="12">
        <f>296900+9500</f>
        <v>306400</v>
      </c>
      <c r="M11" s="12">
        <f>296900+9500</f>
        <v>306400</v>
      </c>
      <c r="N11" s="12">
        <f>296900+9500</f>
        <v>306400</v>
      </c>
      <c r="O11" s="12">
        <f>296900+9500</f>
        <v>306400</v>
      </c>
      <c r="P11" s="12">
        <f>496900+9500</f>
        <v>506400</v>
      </c>
      <c r="Q11" s="12">
        <f>296900+9500</f>
        <v>306400</v>
      </c>
      <c r="R11" s="12">
        <f>596900+9500</f>
        <v>606400</v>
      </c>
      <c r="S11" s="12">
        <f>526900+10300</f>
        <v>537200</v>
      </c>
      <c r="T11" s="12">
        <f>897400+9500</f>
        <v>906900</v>
      </c>
      <c r="U11" s="24">
        <f t="shared" si="1"/>
        <v>4886131</v>
      </c>
      <c r="V11" s="21">
        <f t="shared" si="3"/>
        <v>4886131</v>
      </c>
    </row>
    <row r="12" spans="1:22" ht="12.75">
      <c r="A12" s="5" t="s">
        <v>42</v>
      </c>
      <c r="B12" s="3" t="s">
        <v>9</v>
      </c>
      <c r="C12" s="144" t="s">
        <v>11</v>
      </c>
      <c r="D12" s="145">
        <v>5110100190</v>
      </c>
      <c r="E12" s="145">
        <v>129</v>
      </c>
      <c r="F12" s="144">
        <v>213</v>
      </c>
      <c r="G12" s="1"/>
      <c r="H12" s="15">
        <f>1473200+620+1791</f>
        <v>1475611</v>
      </c>
      <c r="I12" s="12">
        <f>19900+2800</f>
        <v>22700</v>
      </c>
      <c r="J12" s="12">
        <f>19900+2800</f>
        <v>22700</v>
      </c>
      <c r="K12" s="12">
        <f>19560+2800+620+1791</f>
        <v>24771</v>
      </c>
      <c r="L12" s="12">
        <f>89900+2800</f>
        <v>92700</v>
      </c>
      <c r="M12" s="12">
        <f>119900+2800</f>
        <v>122700</v>
      </c>
      <c r="N12" s="12">
        <f>89900+2800</f>
        <v>92700</v>
      </c>
      <c r="O12" s="12">
        <f>89900+2800</f>
        <v>92700</v>
      </c>
      <c r="P12" s="12">
        <f>119900+2800</f>
        <v>122700</v>
      </c>
      <c r="Q12" s="12">
        <f>89900+2800</f>
        <v>92700</v>
      </c>
      <c r="R12" s="12">
        <f>179900+2800</f>
        <v>182700</v>
      </c>
      <c r="S12" s="12">
        <f>249900+3350</f>
        <v>253250</v>
      </c>
      <c r="T12" s="12">
        <f>349940+3350</f>
        <v>353290</v>
      </c>
      <c r="U12" s="24">
        <f t="shared" si="1"/>
        <v>1475611</v>
      </c>
      <c r="V12" s="21">
        <f t="shared" si="3"/>
        <v>1475611</v>
      </c>
    </row>
    <row r="13" spans="1:22" ht="12.75" hidden="1">
      <c r="A13" s="25" t="s">
        <v>42</v>
      </c>
      <c r="B13" s="3" t="s">
        <v>12</v>
      </c>
      <c r="C13" s="113" t="s">
        <v>11</v>
      </c>
      <c r="D13" s="114">
        <v>5110100190</v>
      </c>
      <c r="E13" s="114">
        <v>244</v>
      </c>
      <c r="F13" s="113">
        <v>221</v>
      </c>
      <c r="G13" s="1"/>
      <c r="H13" s="15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24">
        <f t="shared" si="1"/>
        <v>0</v>
      </c>
      <c r="V13" s="21">
        <f t="shared" si="3"/>
        <v>0</v>
      </c>
    </row>
    <row r="14" spans="1:22" ht="12.75" hidden="1">
      <c r="A14" s="5" t="s">
        <v>42</v>
      </c>
      <c r="B14" s="3" t="s">
        <v>13</v>
      </c>
      <c r="C14" s="113" t="s">
        <v>11</v>
      </c>
      <c r="D14" s="114">
        <v>5110100190</v>
      </c>
      <c r="E14" s="114">
        <v>244</v>
      </c>
      <c r="F14" s="113">
        <v>223</v>
      </c>
      <c r="G14" s="2" t="s">
        <v>43</v>
      </c>
      <c r="H14" s="15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4">
        <f t="shared" si="1"/>
        <v>0</v>
      </c>
      <c r="V14" s="21">
        <f t="shared" si="3"/>
        <v>0</v>
      </c>
    </row>
    <row r="15" spans="1:22" ht="12.75" hidden="1">
      <c r="A15" s="5" t="s">
        <v>42</v>
      </c>
      <c r="B15" s="3" t="s">
        <v>13</v>
      </c>
      <c r="C15" s="113" t="s">
        <v>11</v>
      </c>
      <c r="D15" s="114">
        <v>5110100190</v>
      </c>
      <c r="E15" s="114">
        <v>244</v>
      </c>
      <c r="F15" s="113">
        <v>223</v>
      </c>
      <c r="G15" s="9" t="s">
        <v>44</v>
      </c>
      <c r="H15" s="15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4">
        <f t="shared" si="1"/>
        <v>0</v>
      </c>
      <c r="V15" s="21">
        <f t="shared" si="3"/>
        <v>0</v>
      </c>
    </row>
    <row r="16" spans="1:22" ht="12.75" hidden="1">
      <c r="A16" s="5" t="s">
        <v>42</v>
      </c>
      <c r="B16" s="3" t="s">
        <v>13</v>
      </c>
      <c r="C16" s="113" t="s">
        <v>11</v>
      </c>
      <c r="D16" s="114">
        <v>5110100190</v>
      </c>
      <c r="E16" s="114">
        <v>244</v>
      </c>
      <c r="F16" s="113">
        <v>223</v>
      </c>
      <c r="G16" s="2" t="s">
        <v>45</v>
      </c>
      <c r="H16" s="15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24">
        <f t="shared" si="1"/>
        <v>0</v>
      </c>
      <c r="V16" s="21">
        <f t="shared" si="3"/>
        <v>0</v>
      </c>
    </row>
    <row r="17" spans="1:22" ht="12.75" hidden="1">
      <c r="A17" s="5" t="s">
        <v>42</v>
      </c>
      <c r="B17" s="3" t="s">
        <v>14</v>
      </c>
      <c r="C17" s="113" t="s">
        <v>11</v>
      </c>
      <c r="D17" s="114">
        <v>5110100190</v>
      </c>
      <c r="E17" s="114">
        <v>244</v>
      </c>
      <c r="F17" s="113">
        <v>225</v>
      </c>
      <c r="G17" s="2"/>
      <c r="H17" s="15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4">
        <f t="shared" si="1"/>
        <v>0</v>
      </c>
      <c r="V17" s="21">
        <f t="shared" si="3"/>
        <v>0</v>
      </c>
    </row>
    <row r="18" spans="1:22" ht="12.75" hidden="1">
      <c r="A18" s="5" t="s">
        <v>42</v>
      </c>
      <c r="B18" s="3" t="s">
        <v>16</v>
      </c>
      <c r="C18" s="113" t="s">
        <v>11</v>
      </c>
      <c r="D18" s="114">
        <v>5110100190</v>
      </c>
      <c r="E18" s="114">
        <v>851</v>
      </c>
      <c r="F18" s="113">
        <v>290</v>
      </c>
      <c r="G18" s="2" t="s">
        <v>60</v>
      </c>
      <c r="H18" s="17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24">
        <f t="shared" si="1"/>
        <v>0</v>
      </c>
      <c r="V18" s="21">
        <f t="shared" si="3"/>
        <v>0</v>
      </c>
    </row>
    <row r="19" spans="1:22" ht="12.75">
      <c r="A19" s="5" t="s">
        <v>42</v>
      </c>
      <c r="B19" s="3" t="s">
        <v>15</v>
      </c>
      <c r="C19" s="144" t="s">
        <v>11</v>
      </c>
      <c r="D19" s="145">
        <v>5110100190</v>
      </c>
      <c r="E19" s="145">
        <v>244</v>
      </c>
      <c r="F19" s="144">
        <v>226</v>
      </c>
      <c r="G19" s="2"/>
      <c r="H19" s="17">
        <v>3100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3100</v>
      </c>
      <c r="U19" s="24">
        <f t="shared" si="1"/>
        <v>3100</v>
      </c>
      <c r="V19" s="21">
        <f t="shared" si="3"/>
        <v>3100</v>
      </c>
    </row>
    <row r="20" spans="1:22" ht="12.75" hidden="1">
      <c r="A20" s="5" t="s">
        <v>42</v>
      </c>
      <c r="B20" s="3" t="s">
        <v>17</v>
      </c>
      <c r="C20" s="113" t="s">
        <v>11</v>
      </c>
      <c r="D20" s="114">
        <v>5110100190</v>
      </c>
      <c r="E20" s="114">
        <v>244</v>
      </c>
      <c r="F20" s="113">
        <v>340</v>
      </c>
      <c r="G20" s="7"/>
      <c r="H20" s="17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24">
        <f t="shared" si="1"/>
        <v>0</v>
      </c>
      <c r="V20" s="21">
        <f t="shared" si="3"/>
        <v>0</v>
      </c>
    </row>
    <row r="21" spans="1:22" ht="12.75" hidden="1">
      <c r="A21" s="5" t="s">
        <v>42</v>
      </c>
      <c r="B21" s="3" t="s">
        <v>17</v>
      </c>
      <c r="C21" s="113" t="s">
        <v>11</v>
      </c>
      <c r="D21" s="114">
        <v>5110100190</v>
      </c>
      <c r="E21" s="114">
        <v>244</v>
      </c>
      <c r="F21" s="113">
        <v>340</v>
      </c>
      <c r="G21" s="7" t="s">
        <v>46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24">
        <f t="shared" si="1"/>
        <v>0</v>
      </c>
      <c r="V21" s="21">
        <f t="shared" si="3"/>
        <v>0</v>
      </c>
    </row>
    <row r="22" spans="1:22" ht="25.5">
      <c r="A22" s="5" t="s">
        <v>42</v>
      </c>
      <c r="B22" s="3" t="s">
        <v>17</v>
      </c>
      <c r="C22" s="144" t="s">
        <v>11</v>
      </c>
      <c r="D22" s="145">
        <v>5110100190</v>
      </c>
      <c r="E22" s="145">
        <v>244</v>
      </c>
      <c r="F22" s="144">
        <v>340</v>
      </c>
      <c r="G22" s="147" t="s">
        <v>113</v>
      </c>
      <c r="H22" s="15">
        <f>290000-2720-7722</f>
        <v>279558</v>
      </c>
      <c r="I22" s="16">
        <v>19000</v>
      </c>
      <c r="J22" s="16">
        <v>22000</v>
      </c>
      <c r="K22" s="16">
        <f>19100-2720-7722</f>
        <v>8658</v>
      </c>
      <c r="L22" s="16">
        <v>19100</v>
      </c>
      <c r="M22" s="16">
        <v>19100</v>
      </c>
      <c r="N22" s="16">
        <v>20000</v>
      </c>
      <c r="O22" s="16">
        <v>22000</v>
      </c>
      <c r="P22" s="16">
        <v>20000</v>
      </c>
      <c r="Q22" s="16">
        <v>19100</v>
      </c>
      <c r="R22" s="16">
        <v>19600</v>
      </c>
      <c r="S22" s="16">
        <v>20000</v>
      </c>
      <c r="T22" s="16">
        <v>71000</v>
      </c>
      <c r="U22" s="24">
        <f t="shared" si="1"/>
        <v>279558</v>
      </c>
      <c r="V22" s="21">
        <f>SUM(I22:T22)</f>
        <v>279558</v>
      </c>
    </row>
    <row r="23" spans="1:22" ht="12.75">
      <c r="A23" s="5" t="s">
        <v>42</v>
      </c>
      <c r="B23" s="3" t="s">
        <v>16</v>
      </c>
      <c r="C23" s="144" t="s">
        <v>11</v>
      </c>
      <c r="D23" s="145">
        <v>5110100190</v>
      </c>
      <c r="E23" s="145">
        <v>851</v>
      </c>
      <c r="F23" s="144">
        <v>290</v>
      </c>
      <c r="G23" s="147" t="s">
        <v>60</v>
      </c>
      <c r="H23" s="17">
        <f>SUM(K23:T23)</f>
        <v>84000</v>
      </c>
      <c r="I23" s="16">
        <v>0</v>
      </c>
      <c r="J23" s="16">
        <v>0</v>
      </c>
      <c r="K23" s="16">
        <v>0</v>
      </c>
      <c r="L23" s="16">
        <f>22500-6000</f>
        <v>16500</v>
      </c>
      <c r="M23" s="16">
        <v>0</v>
      </c>
      <c r="N23" s="16">
        <v>0</v>
      </c>
      <c r="O23" s="16">
        <v>22500</v>
      </c>
      <c r="P23" s="16">
        <v>0</v>
      </c>
      <c r="Q23" s="16">
        <v>0</v>
      </c>
      <c r="R23" s="16">
        <v>22500</v>
      </c>
      <c r="S23" s="16">
        <v>0</v>
      </c>
      <c r="T23" s="16">
        <v>22500</v>
      </c>
      <c r="U23" s="24">
        <f t="shared" si="1"/>
        <v>84000</v>
      </c>
      <c r="V23" s="21">
        <f t="shared" si="3"/>
        <v>84000</v>
      </c>
    </row>
    <row r="24" spans="1:22" ht="12.75">
      <c r="A24" s="5"/>
      <c r="B24" s="3"/>
      <c r="C24" s="144" t="s">
        <v>11</v>
      </c>
      <c r="D24" s="145">
        <v>5110100190</v>
      </c>
      <c r="E24" s="145">
        <v>852</v>
      </c>
      <c r="F24" s="144">
        <v>290</v>
      </c>
      <c r="G24" s="147" t="s">
        <v>60</v>
      </c>
      <c r="H24" s="185">
        <v>4000</v>
      </c>
      <c r="I24" s="16"/>
      <c r="J24" s="16"/>
      <c r="K24" s="16"/>
      <c r="L24" s="186">
        <v>4000</v>
      </c>
      <c r="M24" s="16"/>
      <c r="N24" s="16"/>
      <c r="O24" s="16"/>
      <c r="P24" s="16"/>
      <c r="Q24" s="16"/>
      <c r="R24" s="16"/>
      <c r="S24" s="16"/>
      <c r="T24" s="16"/>
      <c r="U24" s="24"/>
      <c r="V24" s="21">
        <f t="shared" si="3"/>
        <v>4000</v>
      </c>
    </row>
    <row r="25" spans="1:22" ht="12.75">
      <c r="A25" s="5"/>
      <c r="B25" s="3"/>
      <c r="C25" s="144" t="s">
        <v>11</v>
      </c>
      <c r="D25" s="145">
        <v>5110100190</v>
      </c>
      <c r="E25" s="145">
        <v>853</v>
      </c>
      <c r="F25" s="144">
        <v>290</v>
      </c>
      <c r="G25" s="147" t="s">
        <v>60</v>
      </c>
      <c r="H25" s="185">
        <v>2000</v>
      </c>
      <c r="I25" s="16"/>
      <c r="J25" s="16"/>
      <c r="K25" s="16"/>
      <c r="L25" s="186">
        <v>2000</v>
      </c>
      <c r="M25" s="16"/>
      <c r="N25" s="16"/>
      <c r="O25" s="16"/>
      <c r="P25" s="16"/>
      <c r="Q25" s="16"/>
      <c r="R25" s="16"/>
      <c r="S25" s="16"/>
      <c r="T25" s="16"/>
      <c r="U25" s="24"/>
      <c r="V25" s="21">
        <f t="shared" si="3"/>
        <v>2000</v>
      </c>
    </row>
    <row r="26" spans="1:22" ht="12.75">
      <c r="A26" s="5" t="s">
        <v>42</v>
      </c>
      <c r="B26" s="3" t="s">
        <v>52</v>
      </c>
      <c r="C26" s="144" t="s">
        <v>11</v>
      </c>
      <c r="D26" s="145">
        <v>9110060190</v>
      </c>
      <c r="E26" s="145">
        <v>244</v>
      </c>
      <c r="F26" s="144">
        <v>340</v>
      </c>
      <c r="G26" s="7"/>
      <c r="H26" s="17">
        <v>7600</v>
      </c>
      <c r="I26" s="16">
        <v>7600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24">
        <f>I26+J26+K26+L26+M26+N26+O26+P26+Q26+R26+S26+T26</f>
        <v>7600</v>
      </c>
      <c r="V26" s="21">
        <f t="shared" si="3"/>
        <v>7600</v>
      </c>
    </row>
    <row r="27" spans="1:22" ht="12.75">
      <c r="A27" s="5"/>
      <c r="B27" s="29" t="s">
        <v>53</v>
      </c>
      <c r="C27" s="149" t="s">
        <v>11</v>
      </c>
      <c r="D27" s="150"/>
      <c r="E27" s="150"/>
      <c r="F27" s="151"/>
      <c r="G27" s="7"/>
      <c r="H27" s="20">
        <f>H10+H26</f>
        <v>6742000</v>
      </c>
      <c r="I27" s="20">
        <f>I10+I26</f>
        <v>255700</v>
      </c>
      <c r="J27" s="20">
        <f aca="true" t="shared" si="6" ref="J27:T27">J10+J26</f>
        <v>359131</v>
      </c>
      <c r="K27" s="20">
        <f t="shared" si="6"/>
        <v>309829</v>
      </c>
      <c r="L27" s="20">
        <f t="shared" si="6"/>
        <v>434700</v>
      </c>
      <c r="M27" s="20">
        <f t="shared" si="6"/>
        <v>448200</v>
      </c>
      <c r="N27" s="20">
        <f t="shared" si="6"/>
        <v>419100</v>
      </c>
      <c r="O27" s="20">
        <f t="shared" si="6"/>
        <v>443600</v>
      </c>
      <c r="P27" s="20">
        <f t="shared" si="6"/>
        <v>649100</v>
      </c>
      <c r="Q27" s="20">
        <f t="shared" si="6"/>
        <v>418200</v>
      </c>
      <c r="R27" s="20">
        <f t="shared" si="6"/>
        <v>831200</v>
      </c>
      <c r="S27" s="20">
        <f t="shared" si="6"/>
        <v>810450</v>
      </c>
      <c r="T27" s="20">
        <f t="shared" si="6"/>
        <v>1356790</v>
      </c>
      <c r="U27" s="23">
        <f>I27+J27+K27+L27+M27+N27+O27+P27+Q27+R27+S27+T27</f>
        <v>6736000</v>
      </c>
      <c r="V27" s="199">
        <f>V10+V26</f>
        <v>6742000</v>
      </c>
    </row>
    <row r="28" spans="1:22" ht="12.75">
      <c r="A28" s="5"/>
      <c r="B28" s="31"/>
      <c r="C28" s="118"/>
      <c r="D28" s="114"/>
      <c r="E28" s="114"/>
      <c r="F28" s="113"/>
      <c r="G28" s="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3"/>
      <c r="V28" s="21">
        <f t="shared" si="3"/>
        <v>0</v>
      </c>
    </row>
    <row r="29" spans="1:22" ht="76.5">
      <c r="A29" s="5" t="s">
        <v>42</v>
      </c>
      <c r="B29" s="33" t="s">
        <v>54</v>
      </c>
      <c r="C29" s="152" t="s">
        <v>55</v>
      </c>
      <c r="D29" s="153">
        <v>9210000190</v>
      </c>
      <c r="E29" s="153">
        <v>540</v>
      </c>
      <c r="F29" s="153">
        <v>251</v>
      </c>
      <c r="G29" s="7" t="s">
        <v>56</v>
      </c>
      <c r="H29" s="13">
        <v>150473</v>
      </c>
      <c r="I29" s="18">
        <v>0</v>
      </c>
      <c r="J29" s="18">
        <v>37600</v>
      </c>
      <c r="K29" s="18">
        <v>0</v>
      </c>
      <c r="L29" s="18">
        <v>0</v>
      </c>
      <c r="M29" s="18">
        <v>37600</v>
      </c>
      <c r="N29" s="18">
        <v>0</v>
      </c>
      <c r="O29" s="18">
        <v>0</v>
      </c>
      <c r="P29" s="18">
        <v>37600</v>
      </c>
      <c r="Q29" s="18">
        <v>0</v>
      </c>
      <c r="R29" s="18">
        <v>0</v>
      </c>
      <c r="S29" s="18">
        <v>37673</v>
      </c>
      <c r="T29" s="18">
        <v>0</v>
      </c>
      <c r="U29" s="24">
        <f>I29+J29+K29+L29+M29+N29+O29+P29+Q29+R29+S29+T29</f>
        <v>150473</v>
      </c>
      <c r="V29" s="200">
        <f t="shared" si="3"/>
        <v>150473</v>
      </c>
    </row>
    <row r="30" spans="1:22" ht="12.75">
      <c r="A30" s="5"/>
      <c r="B30" s="29" t="s">
        <v>53</v>
      </c>
      <c r="C30" s="149" t="s">
        <v>55</v>
      </c>
      <c r="D30" s="150"/>
      <c r="E30" s="150"/>
      <c r="F30" s="151"/>
      <c r="G30" s="7"/>
      <c r="H30" s="20">
        <f aca="true" t="shared" si="7" ref="H30:T30">H29</f>
        <v>150473</v>
      </c>
      <c r="I30" s="19">
        <f t="shared" si="7"/>
        <v>0</v>
      </c>
      <c r="J30" s="19">
        <f t="shared" si="7"/>
        <v>37600</v>
      </c>
      <c r="K30" s="19">
        <f t="shared" si="7"/>
        <v>0</v>
      </c>
      <c r="L30" s="19">
        <f t="shared" si="7"/>
        <v>0</v>
      </c>
      <c r="M30" s="19">
        <f t="shared" si="7"/>
        <v>37600</v>
      </c>
      <c r="N30" s="19">
        <f t="shared" si="7"/>
        <v>0</v>
      </c>
      <c r="O30" s="19">
        <f t="shared" si="7"/>
        <v>0</v>
      </c>
      <c r="P30" s="19">
        <f t="shared" si="7"/>
        <v>37600</v>
      </c>
      <c r="Q30" s="19">
        <f t="shared" si="7"/>
        <v>0</v>
      </c>
      <c r="R30" s="19">
        <f t="shared" si="7"/>
        <v>0</v>
      </c>
      <c r="S30" s="19">
        <f t="shared" si="7"/>
        <v>37673</v>
      </c>
      <c r="T30" s="19">
        <f t="shared" si="7"/>
        <v>0</v>
      </c>
      <c r="U30" s="23">
        <f>I30+J30+K30+L30+M30+N30+O30+P30+Q30+R30+S30+T30</f>
        <v>150473</v>
      </c>
      <c r="V30" s="21">
        <f t="shared" si="3"/>
        <v>150473</v>
      </c>
    </row>
    <row r="31" spans="1:22" ht="12.75">
      <c r="A31" s="5"/>
      <c r="B31" s="31"/>
      <c r="C31" s="149"/>
      <c r="D31" s="150"/>
      <c r="E31" s="150"/>
      <c r="F31" s="151"/>
      <c r="G31" s="7"/>
      <c r="H31" s="2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3"/>
      <c r="V31" s="21">
        <f t="shared" si="3"/>
        <v>0</v>
      </c>
    </row>
    <row r="32" spans="1:22" ht="25.5">
      <c r="A32" s="5" t="s">
        <v>42</v>
      </c>
      <c r="B32" s="155" t="s">
        <v>115</v>
      </c>
      <c r="C32" s="149" t="s">
        <v>116</v>
      </c>
      <c r="D32" s="150">
        <v>9510010710</v>
      </c>
      <c r="E32" s="150">
        <v>880</v>
      </c>
      <c r="F32" s="151">
        <v>290</v>
      </c>
      <c r="G32" s="7"/>
      <c r="H32" s="156">
        <v>1100000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1100000</v>
      </c>
      <c r="U32" s="23">
        <f>I32+J32+K32+L32+M32+N32+O32+P32+Q32+R32+S32+T32</f>
        <v>1100000</v>
      </c>
      <c r="V32" s="199">
        <f t="shared" si="3"/>
        <v>1100000</v>
      </c>
    </row>
    <row r="33" spans="1:22" ht="12.75">
      <c r="A33" s="5"/>
      <c r="B33" s="29" t="s">
        <v>53</v>
      </c>
      <c r="C33" s="149" t="s">
        <v>116</v>
      </c>
      <c r="D33" s="150"/>
      <c r="E33" s="150"/>
      <c r="F33" s="151"/>
      <c r="G33" s="7"/>
      <c r="H33" s="20">
        <f>H32</f>
        <v>1100000</v>
      </c>
      <c r="I33" s="19">
        <f aca="true" t="shared" si="8" ref="I33:T33">I32</f>
        <v>0</v>
      </c>
      <c r="J33" s="19">
        <f t="shared" si="8"/>
        <v>0</v>
      </c>
      <c r="K33" s="19">
        <f t="shared" si="8"/>
        <v>0</v>
      </c>
      <c r="L33" s="19">
        <f t="shared" si="8"/>
        <v>0</v>
      </c>
      <c r="M33" s="19">
        <f t="shared" si="8"/>
        <v>0</v>
      </c>
      <c r="N33" s="19">
        <f t="shared" si="8"/>
        <v>0</v>
      </c>
      <c r="O33" s="19">
        <f t="shared" si="8"/>
        <v>0</v>
      </c>
      <c r="P33" s="19">
        <f t="shared" si="8"/>
        <v>0</v>
      </c>
      <c r="Q33" s="19">
        <f t="shared" si="8"/>
        <v>0</v>
      </c>
      <c r="R33" s="19">
        <f t="shared" si="8"/>
        <v>0</v>
      </c>
      <c r="S33" s="19">
        <f t="shared" si="8"/>
        <v>0</v>
      </c>
      <c r="T33" s="19">
        <f t="shared" si="8"/>
        <v>1100000</v>
      </c>
      <c r="U33" s="23">
        <f>I33+J33+K33+L33+M33+N33+O33+P33+Q33+R33+S33+T33</f>
        <v>1100000</v>
      </c>
      <c r="V33" s="21">
        <f t="shared" si="3"/>
        <v>1100000</v>
      </c>
    </row>
    <row r="34" spans="1:22" ht="12.75">
      <c r="A34" s="5"/>
      <c r="B34" s="31"/>
      <c r="C34" s="118"/>
      <c r="D34" s="114"/>
      <c r="E34" s="114"/>
      <c r="F34" s="113"/>
      <c r="G34" s="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3"/>
      <c r="V34" s="21">
        <f t="shared" si="3"/>
        <v>0</v>
      </c>
    </row>
    <row r="35" spans="1:22" ht="12.75">
      <c r="A35" s="5" t="s">
        <v>42</v>
      </c>
      <c r="B35" s="32" t="s">
        <v>57</v>
      </c>
      <c r="C35" s="144" t="s">
        <v>58</v>
      </c>
      <c r="D35" s="145">
        <v>9310010490</v>
      </c>
      <c r="E35" s="145">
        <v>870</v>
      </c>
      <c r="F35" s="144">
        <v>290</v>
      </c>
      <c r="G35" s="7"/>
      <c r="H35" s="13">
        <v>150000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150000</v>
      </c>
      <c r="U35" s="24">
        <f>I35+J35+K35+L35+M35+N35+O35+P35+Q35+R35+S35+T35</f>
        <v>150000</v>
      </c>
      <c r="V35" s="199">
        <f t="shared" si="3"/>
        <v>150000</v>
      </c>
    </row>
    <row r="36" spans="1:22" ht="12.75">
      <c r="A36" s="5"/>
      <c r="B36" s="29" t="s">
        <v>53</v>
      </c>
      <c r="C36" s="149" t="s">
        <v>19</v>
      </c>
      <c r="D36" s="154"/>
      <c r="E36" s="154"/>
      <c r="F36" s="149"/>
      <c r="G36" s="34"/>
      <c r="H36" s="20">
        <f aca="true" t="shared" si="9" ref="H36:T36">H35</f>
        <v>150000</v>
      </c>
      <c r="I36" s="19">
        <f t="shared" si="9"/>
        <v>0</v>
      </c>
      <c r="J36" s="19">
        <f t="shared" si="9"/>
        <v>0</v>
      </c>
      <c r="K36" s="19">
        <f t="shared" si="9"/>
        <v>0</v>
      </c>
      <c r="L36" s="19">
        <f t="shared" si="9"/>
        <v>0</v>
      </c>
      <c r="M36" s="19">
        <f t="shared" si="9"/>
        <v>0</v>
      </c>
      <c r="N36" s="19">
        <f t="shared" si="9"/>
        <v>0</v>
      </c>
      <c r="O36" s="19">
        <f t="shared" si="9"/>
        <v>0</v>
      </c>
      <c r="P36" s="19">
        <f t="shared" si="9"/>
        <v>0</v>
      </c>
      <c r="Q36" s="19">
        <f t="shared" si="9"/>
        <v>0</v>
      </c>
      <c r="R36" s="19">
        <f t="shared" si="9"/>
        <v>0</v>
      </c>
      <c r="S36" s="19">
        <f t="shared" si="9"/>
        <v>0</v>
      </c>
      <c r="T36" s="19">
        <f t="shared" si="9"/>
        <v>150000</v>
      </c>
      <c r="U36" s="23">
        <f>I36+J36+K36+L36+M36+N36+O36+P36+Q36+R36+S36+T36</f>
        <v>150000</v>
      </c>
      <c r="V36" s="21">
        <f t="shared" si="3"/>
        <v>150000</v>
      </c>
    </row>
    <row r="37" spans="1:22" s="197" customFormat="1" ht="12.75">
      <c r="A37" s="189"/>
      <c r="B37" s="190"/>
      <c r="C37" s="191" t="s">
        <v>8</v>
      </c>
      <c r="D37" s="192">
        <v>9400000000</v>
      </c>
      <c r="E37" s="192"/>
      <c r="F37" s="193"/>
      <c r="G37" s="194"/>
      <c r="H37" s="195">
        <v>60600</v>
      </c>
      <c r="I37" s="195"/>
      <c r="J37" s="195"/>
      <c r="K37" s="195">
        <v>15150</v>
      </c>
      <c r="L37" s="195">
        <v>0</v>
      </c>
      <c r="M37" s="195"/>
      <c r="N37" s="195">
        <v>15150</v>
      </c>
      <c r="O37" s="195">
        <v>0</v>
      </c>
      <c r="P37" s="195"/>
      <c r="Q37" s="195">
        <v>15150</v>
      </c>
      <c r="R37" s="195">
        <v>0</v>
      </c>
      <c r="S37" s="195"/>
      <c r="T37" s="195">
        <v>15150</v>
      </c>
      <c r="U37" s="196"/>
      <c r="V37" s="21">
        <f t="shared" si="3"/>
        <v>60600</v>
      </c>
    </row>
    <row r="38" spans="1:22" ht="12.75">
      <c r="A38" s="5"/>
      <c r="B38" s="31"/>
      <c r="C38" s="149" t="s">
        <v>8</v>
      </c>
      <c r="D38" s="187">
        <v>9420000000</v>
      </c>
      <c r="E38" s="187"/>
      <c r="F38" s="188"/>
      <c r="G38" s="3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4"/>
      <c r="V38" s="21">
        <f t="shared" si="3"/>
        <v>0</v>
      </c>
    </row>
    <row r="39" spans="1:22" ht="12.75">
      <c r="A39" s="5"/>
      <c r="B39" s="31"/>
      <c r="C39" s="149" t="s">
        <v>8</v>
      </c>
      <c r="D39" s="187">
        <v>9420000480</v>
      </c>
      <c r="E39" s="187">
        <v>540</v>
      </c>
      <c r="F39" s="188">
        <v>251</v>
      </c>
      <c r="G39" s="34"/>
      <c r="H39" s="198">
        <v>60600</v>
      </c>
      <c r="I39" s="19"/>
      <c r="J39" s="19"/>
      <c r="K39" s="19">
        <v>15150</v>
      </c>
      <c r="L39" s="19"/>
      <c r="M39" s="19"/>
      <c r="N39" s="19">
        <v>15150</v>
      </c>
      <c r="O39" s="19"/>
      <c r="P39" s="19"/>
      <c r="Q39" s="19">
        <v>15150</v>
      </c>
      <c r="R39" s="19"/>
      <c r="S39" s="19"/>
      <c r="T39" s="19">
        <v>15150</v>
      </c>
      <c r="U39" s="24"/>
      <c r="V39" s="21">
        <f t="shared" si="3"/>
        <v>60600</v>
      </c>
    </row>
    <row r="40" spans="1:22" ht="89.25">
      <c r="A40" s="26" t="s">
        <v>42</v>
      </c>
      <c r="B40" s="35" t="s">
        <v>114</v>
      </c>
      <c r="C40" s="148" t="s">
        <v>8</v>
      </c>
      <c r="D40" s="161">
        <v>5400000000</v>
      </c>
      <c r="E40" s="117"/>
      <c r="F40" s="117"/>
      <c r="G40" s="36"/>
      <c r="H40" s="39">
        <f aca="true" t="shared" si="10" ref="H40:T40">H42+H49+H61</f>
        <v>9981477.52</v>
      </c>
      <c r="I40" s="39">
        <f t="shared" si="10"/>
        <v>531603.52</v>
      </c>
      <c r="J40" s="39">
        <f t="shared" si="10"/>
        <v>573700</v>
      </c>
      <c r="K40" s="39">
        <f t="shared" si="10"/>
        <v>689700</v>
      </c>
      <c r="L40" s="39">
        <f t="shared" si="10"/>
        <v>743750</v>
      </c>
      <c r="M40" s="39">
        <f t="shared" si="10"/>
        <v>688400</v>
      </c>
      <c r="N40" s="39">
        <f t="shared" si="10"/>
        <v>662700</v>
      </c>
      <c r="O40" s="39">
        <f t="shared" si="10"/>
        <v>746750</v>
      </c>
      <c r="P40" s="39">
        <f t="shared" si="10"/>
        <v>934900</v>
      </c>
      <c r="Q40" s="39">
        <f t="shared" si="10"/>
        <v>822700</v>
      </c>
      <c r="R40" s="39">
        <f t="shared" si="10"/>
        <v>1153035</v>
      </c>
      <c r="S40" s="39">
        <f t="shared" si="10"/>
        <v>1239589</v>
      </c>
      <c r="T40" s="39">
        <f t="shared" si="10"/>
        <v>1194650</v>
      </c>
      <c r="U40" s="24">
        <f>I40+J40+K40+L40+M40+N40+O40+P40+Q40+R40+S40+T40</f>
        <v>9981477.52</v>
      </c>
      <c r="V40" s="21">
        <f t="shared" si="3"/>
        <v>9981477.52</v>
      </c>
    </row>
    <row r="41" spans="1:22" ht="12.75">
      <c r="A41" s="42"/>
      <c r="B41" s="43"/>
      <c r="C41" s="122"/>
      <c r="D41" s="123"/>
      <c r="E41" s="123"/>
      <c r="F41" s="123"/>
      <c r="G41" s="4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24"/>
      <c r="V41" s="21">
        <f t="shared" si="3"/>
        <v>0</v>
      </c>
    </row>
    <row r="42" spans="1:22" ht="38.25">
      <c r="A42" s="26" t="s">
        <v>42</v>
      </c>
      <c r="B42" s="35" t="s">
        <v>59</v>
      </c>
      <c r="C42" s="159" t="s">
        <v>8</v>
      </c>
      <c r="D42" s="160">
        <v>5410000000</v>
      </c>
      <c r="E42" s="124"/>
      <c r="F42" s="124"/>
      <c r="G42" s="51"/>
      <c r="H42" s="52">
        <f aca="true" t="shared" si="11" ref="H42:T42">H43+H44+H45+H46+H47</f>
        <v>2529900</v>
      </c>
      <c r="I42" s="52">
        <f t="shared" si="11"/>
        <v>192500</v>
      </c>
      <c r="J42" s="52">
        <f t="shared" si="11"/>
        <v>172500</v>
      </c>
      <c r="K42" s="52">
        <f t="shared" si="11"/>
        <v>192500</v>
      </c>
      <c r="L42" s="52">
        <f t="shared" si="11"/>
        <v>228500</v>
      </c>
      <c r="M42" s="52">
        <f t="shared" si="11"/>
        <v>192500</v>
      </c>
      <c r="N42" s="52">
        <f t="shared" si="11"/>
        <v>192500</v>
      </c>
      <c r="O42" s="52">
        <f t="shared" si="11"/>
        <v>279000</v>
      </c>
      <c r="P42" s="52">
        <f t="shared" si="11"/>
        <v>222700</v>
      </c>
      <c r="Q42" s="52">
        <f t="shared" si="11"/>
        <v>222500</v>
      </c>
      <c r="R42" s="52">
        <f t="shared" si="11"/>
        <v>192500</v>
      </c>
      <c r="S42" s="52">
        <f t="shared" si="11"/>
        <v>203300</v>
      </c>
      <c r="T42" s="52">
        <f t="shared" si="11"/>
        <v>238900</v>
      </c>
      <c r="U42" s="24">
        <f aca="true" t="shared" si="12" ref="U42:U47">I42+J42+K42+L42+M42+N42+O42+P42+Q42+R42+S42+T42</f>
        <v>2529900</v>
      </c>
      <c r="V42" s="21">
        <f t="shared" si="3"/>
        <v>2529900</v>
      </c>
    </row>
    <row r="43" spans="1:22" ht="12.75">
      <c r="A43" s="5" t="s">
        <v>42</v>
      </c>
      <c r="B43" s="3" t="s">
        <v>7</v>
      </c>
      <c r="C43" s="144" t="s">
        <v>8</v>
      </c>
      <c r="D43" s="144">
        <v>5410100590</v>
      </c>
      <c r="E43" s="153">
        <v>111</v>
      </c>
      <c r="F43" s="144">
        <v>211</v>
      </c>
      <c r="G43" s="1"/>
      <c r="H43" s="15">
        <f>1794800+45</f>
        <v>1794845</v>
      </c>
      <c r="I43" s="12">
        <v>149500</v>
      </c>
      <c r="J43" s="12">
        <f>149500+45</f>
        <v>149545</v>
      </c>
      <c r="K43" s="12">
        <v>149500</v>
      </c>
      <c r="L43" s="12">
        <v>149500</v>
      </c>
      <c r="M43" s="12">
        <v>149500</v>
      </c>
      <c r="N43" s="12">
        <v>149500</v>
      </c>
      <c r="O43" s="12">
        <v>149500</v>
      </c>
      <c r="P43" s="12">
        <v>149500</v>
      </c>
      <c r="Q43" s="12">
        <v>149500</v>
      </c>
      <c r="R43" s="12">
        <v>149500</v>
      </c>
      <c r="S43" s="12">
        <v>150300</v>
      </c>
      <c r="T43" s="12">
        <v>149500</v>
      </c>
      <c r="U43" s="24">
        <f t="shared" si="12"/>
        <v>1794845</v>
      </c>
      <c r="V43" s="21">
        <f t="shared" si="3"/>
        <v>1794845</v>
      </c>
    </row>
    <row r="44" spans="1:22" ht="12.75">
      <c r="A44" s="5" t="s">
        <v>42</v>
      </c>
      <c r="B44" s="3" t="s">
        <v>9</v>
      </c>
      <c r="C44" s="144" t="s">
        <v>8</v>
      </c>
      <c r="D44" s="144">
        <v>5410100590</v>
      </c>
      <c r="E44" s="153">
        <v>119</v>
      </c>
      <c r="F44" s="158">
        <v>213</v>
      </c>
      <c r="G44" s="1"/>
      <c r="H44" s="15">
        <f>542100-45</f>
        <v>542055</v>
      </c>
      <c r="I44" s="12">
        <v>43000</v>
      </c>
      <c r="J44" s="12">
        <f>23000-45</f>
        <v>22955</v>
      </c>
      <c r="K44" s="12">
        <v>43000</v>
      </c>
      <c r="L44" s="12">
        <v>33000</v>
      </c>
      <c r="M44" s="12">
        <v>43000</v>
      </c>
      <c r="N44" s="12">
        <v>43000</v>
      </c>
      <c r="O44" s="12">
        <v>43000</v>
      </c>
      <c r="P44" s="12">
        <v>73200</v>
      </c>
      <c r="Q44" s="12">
        <v>43000</v>
      </c>
      <c r="R44" s="12">
        <v>43000</v>
      </c>
      <c r="S44" s="12">
        <v>53000</v>
      </c>
      <c r="T44" s="12">
        <v>58900</v>
      </c>
      <c r="U44" s="24">
        <f t="shared" si="12"/>
        <v>542055</v>
      </c>
      <c r="V44" s="21">
        <f t="shared" si="3"/>
        <v>542055</v>
      </c>
    </row>
    <row r="45" spans="1:22" ht="12.75">
      <c r="A45" s="5" t="s">
        <v>42</v>
      </c>
      <c r="B45" s="3" t="s">
        <v>15</v>
      </c>
      <c r="C45" s="144" t="s">
        <v>8</v>
      </c>
      <c r="D45" s="144">
        <v>5410100590</v>
      </c>
      <c r="E45" s="153">
        <v>244</v>
      </c>
      <c r="F45" s="144">
        <v>226</v>
      </c>
      <c r="G45" s="1"/>
      <c r="H45" s="15">
        <v>160000</v>
      </c>
      <c r="I45" s="12">
        <v>0</v>
      </c>
      <c r="J45" s="12">
        <v>0</v>
      </c>
      <c r="K45" s="12">
        <v>0</v>
      </c>
      <c r="L45" s="12">
        <v>30000</v>
      </c>
      <c r="M45" s="12">
        <v>0</v>
      </c>
      <c r="N45" s="12">
        <v>0</v>
      </c>
      <c r="O45" s="12">
        <v>70000</v>
      </c>
      <c r="P45" s="12">
        <v>0</v>
      </c>
      <c r="Q45" s="12">
        <v>30000</v>
      </c>
      <c r="R45" s="12">
        <v>0</v>
      </c>
      <c r="S45" s="12">
        <v>0</v>
      </c>
      <c r="T45" s="12">
        <v>30000</v>
      </c>
      <c r="U45" s="24">
        <f t="shared" si="12"/>
        <v>160000</v>
      </c>
      <c r="V45" s="21">
        <f t="shared" si="3"/>
        <v>160000</v>
      </c>
    </row>
    <row r="46" spans="1:22" ht="12.75">
      <c r="A46" s="5" t="s">
        <v>42</v>
      </c>
      <c r="B46" s="3" t="s">
        <v>17</v>
      </c>
      <c r="C46" s="144" t="s">
        <v>8</v>
      </c>
      <c r="D46" s="144">
        <v>5410100590</v>
      </c>
      <c r="E46" s="153">
        <v>244</v>
      </c>
      <c r="F46" s="144">
        <v>340</v>
      </c>
      <c r="G46" s="1"/>
      <c r="H46" s="15">
        <v>32000</v>
      </c>
      <c r="I46" s="12">
        <v>0</v>
      </c>
      <c r="J46" s="12">
        <v>0</v>
      </c>
      <c r="K46" s="12">
        <v>0</v>
      </c>
      <c r="L46" s="12">
        <v>16000</v>
      </c>
      <c r="M46" s="12">
        <v>0</v>
      </c>
      <c r="N46" s="12">
        <v>0</v>
      </c>
      <c r="O46" s="12">
        <v>16000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24">
        <f t="shared" si="12"/>
        <v>32000</v>
      </c>
      <c r="V46" s="21">
        <f t="shared" si="3"/>
        <v>32000</v>
      </c>
    </row>
    <row r="47" spans="1:22" ht="12.75">
      <c r="A47" s="5" t="s">
        <v>42</v>
      </c>
      <c r="B47" s="3" t="s">
        <v>16</v>
      </c>
      <c r="C47" s="144" t="s">
        <v>8</v>
      </c>
      <c r="D47" s="144">
        <v>5410100590</v>
      </c>
      <c r="E47" s="153">
        <v>852</v>
      </c>
      <c r="F47" s="144">
        <v>290</v>
      </c>
      <c r="G47" s="2" t="s">
        <v>60</v>
      </c>
      <c r="H47" s="15">
        <v>1000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500</v>
      </c>
      <c r="P47" s="12">
        <v>0</v>
      </c>
      <c r="Q47" s="12">
        <v>0</v>
      </c>
      <c r="R47" s="12">
        <v>0</v>
      </c>
      <c r="S47" s="12">
        <v>0</v>
      </c>
      <c r="T47" s="12">
        <v>500</v>
      </c>
      <c r="U47" s="24">
        <f t="shared" si="12"/>
        <v>1000</v>
      </c>
      <c r="V47" s="21">
        <f t="shared" si="3"/>
        <v>1000</v>
      </c>
    </row>
    <row r="48" spans="1:22" ht="12.75">
      <c r="A48" s="5"/>
      <c r="B48" s="3"/>
      <c r="C48" s="113"/>
      <c r="D48" s="113"/>
      <c r="E48" s="120"/>
      <c r="F48" s="113"/>
      <c r="G48" s="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24"/>
      <c r="V48" s="21">
        <f t="shared" si="3"/>
        <v>0</v>
      </c>
    </row>
    <row r="49" spans="1:22" ht="85.5" customHeight="1">
      <c r="A49" s="26" t="s">
        <v>42</v>
      </c>
      <c r="B49" s="35" t="s">
        <v>61</v>
      </c>
      <c r="C49" s="159" t="s">
        <v>8</v>
      </c>
      <c r="D49" s="160">
        <v>5420000000</v>
      </c>
      <c r="E49" s="160"/>
      <c r="F49" s="126"/>
      <c r="G49" s="51"/>
      <c r="H49" s="52">
        <f>H50+H51+H52+H53+H54+H55+H56+H57+H58+H59</f>
        <v>6309177.52</v>
      </c>
      <c r="I49" s="52">
        <f aca="true" t="shared" si="13" ref="I49:T49">I50+I51+I52+I53+I54+I55+I56+I57+I58+I59</f>
        <v>276777.52</v>
      </c>
      <c r="J49" s="52">
        <f t="shared" si="13"/>
        <v>308600</v>
      </c>
      <c r="K49" s="52">
        <f t="shared" si="13"/>
        <v>404600</v>
      </c>
      <c r="L49" s="52">
        <f t="shared" si="13"/>
        <v>422150</v>
      </c>
      <c r="M49" s="52">
        <f t="shared" si="13"/>
        <v>403300</v>
      </c>
      <c r="N49" s="52">
        <f t="shared" si="13"/>
        <v>377600</v>
      </c>
      <c r="O49" s="52">
        <f t="shared" si="13"/>
        <v>400150</v>
      </c>
      <c r="P49" s="52">
        <f t="shared" si="13"/>
        <v>619600</v>
      </c>
      <c r="Q49" s="52">
        <f t="shared" si="13"/>
        <v>507600</v>
      </c>
      <c r="R49" s="52">
        <f t="shared" si="13"/>
        <v>867935</v>
      </c>
      <c r="S49" s="52">
        <f t="shared" si="13"/>
        <v>897415</v>
      </c>
      <c r="T49" s="52">
        <f t="shared" si="13"/>
        <v>823450</v>
      </c>
      <c r="U49" s="24">
        <f>I49+J49+K49+L49+M49+N49+O49+P49+Q49+R49+S49+T49</f>
        <v>6309177.52</v>
      </c>
      <c r="V49" s="21">
        <f t="shared" si="3"/>
        <v>6309177.52</v>
      </c>
    </row>
    <row r="50" spans="1:22" ht="12.75">
      <c r="A50" s="5" t="s">
        <v>42</v>
      </c>
      <c r="B50" s="3" t="s">
        <v>7</v>
      </c>
      <c r="C50" s="144" t="s">
        <v>8</v>
      </c>
      <c r="D50" s="144">
        <v>5420100590</v>
      </c>
      <c r="E50" s="153">
        <v>111</v>
      </c>
      <c r="F50" s="144">
        <v>211</v>
      </c>
      <c r="G50" s="2"/>
      <c r="H50" s="15">
        <v>4330400</v>
      </c>
      <c r="I50" s="12">
        <f>100200+30600</f>
        <v>130800</v>
      </c>
      <c r="J50" s="12">
        <f>180200+30600</f>
        <v>210800</v>
      </c>
      <c r="K50" s="12">
        <f>230200+30600</f>
        <v>260800</v>
      </c>
      <c r="L50" s="12">
        <f>210200+30600</f>
        <v>240800</v>
      </c>
      <c r="M50" s="12">
        <f>230200+30600</f>
        <v>260800</v>
      </c>
      <c r="N50" s="12">
        <f>230200+30600</f>
        <v>260800</v>
      </c>
      <c r="O50" s="12">
        <f>230200+30600</f>
        <v>260800</v>
      </c>
      <c r="P50" s="12">
        <f>430200+30600</f>
        <v>460800</v>
      </c>
      <c r="Q50" s="12">
        <f>330200+30600</f>
        <v>360800</v>
      </c>
      <c r="R50" s="12">
        <f>630200+30600</f>
        <v>660800</v>
      </c>
      <c r="S50" s="12">
        <f>600200+30600</f>
        <v>630800</v>
      </c>
      <c r="T50" s="12">
        <f>560300+30600-700+1400</f>
        <v>591600</v>
      </c>
      <c r="U50" s="24">
        <f aca="true" t="shared" si="14" ref="U50:U59">I50+J50+K50+L50+M50+N50+O50+P50+Q50+R50+S50+T50</f>
        <v>4330400</v>
      </c>
      <c r="V50" s="21">
        <f t="shared" si="3"/>
        <v>4330400</v>
      </c>
    </row>
    <row r="51" spans="1:22" ht="12.75">
      <c r="A51" s="5" t="s">
        <v>42</v>
      </c>
      <c r="B51" s="3" t="s">
        <v>9</v>
      </c>
      <c r="C51" s="144" t="s">
        <v>8</v>
      </c>
      <c r="D51" s="144">
        <v>5420100590</v>
      </c>
      <c r="E51" s="153">
        <v>119</v>
      </c>
      <c r="F51" s="144">
        <v>213</v>
      </c>
      <c r="G51" s="2"/>
      <c r="H51" s="15">
        <v>1307800</v>
      </c>
      <c r="I51" s="12">
        <f>79700+9200</f>
        <v>88900</v>
      </c>
      <c r="J51" s="12">
        <f>69700+9200</f>
        <v>78900</v>
      </c>
      <c r="K51" s="12">
        <f>75100+9200</f>
        <v>84300</v>
      </c>
      <c r="L51" s="12">
        <f>99700+9200</f>
        <v>108900</v>
      </c>
      <c r="M51" s="12">
        <f>99700+9200</f>
        <v>108900</v>
      </c>
      <c r="N51" s="12">
        <f>69700+9200</f>
        <v>78900</v>
      </c>
      <c r="O51" s="12">
        <f>99700+9200</f>
        <v>108900</v>
      </c>
      <c r="P51" s="12">
        <f>99700+9200</f>
        <v>108900</v>
      </c>
      <c r="Q51" s="12">
        <f>99700+9200</f>
        <v>108900</v>
      </c>
      <c r="R51" s="12">
        <f>124200+9200</f>
        <v>133400</v>
      </c>
      <c r="S51" s="12">
        <f>129700+10000</f>
        <v>139700</v>
      </c>
      <c r="T51" s="12">
        <f>150000+9200</f>
        <v>159200</v>
      </c>
      <c r="U51" s="24">
        <f t="shared" si="14"/>
        <v>1307800</v>
      </c>
      <c r="V51" s="21">
        <f t="shared" si="3"/>
        <v>1307800</v>
      </c>
    </row>
    <row r="52" spans="1:22" ht="12.75">
      <c r="A52" s="5" t="s">
        <v>42</v>
      </c>
      <c r="B52" s="3" t="s">
        <v>15</v>
      </c>
      <c r="C52" s="144" t="s">
        <v>8</v>
      </c>
      <c r="D52" s="144">
        <v>5420100590</v>
      </c>
      <c r="E52" s="153">
        <v>244</v>
      </c>
      <c r="F52" s="144">
        <v>226</v>
      </c>
      <c r="G52" s="2"/>
      <c r="H52" s="15">
        <v>93000</v>
      </c>
      <c r="I52" s="12">
        <v>0</v>
      </c>
      <c r="J52" s="12">
        <v>0</v>
      </c>
      <c r="K52" s="12">
        <v>0</v>
      </c>
      <c r="L52" s="12">
        <v>15000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15000</v>
      </c>
      <c r="S52" s="12">
        <v>63000</v>
      </c>
      <c r="T52" s="12">
        <v>0</v>
      </c>
      <c r="U52" s="24">
        <f t="shared" si="14"/>
        <v>93000</v>
      </c>
      <c r="V52" s="21">
        <f t="shared" si="3"/>
        <v>93000</v>
      </c>
    </row>
    <row r="53" spans="1:22" ht="12.75">
      <c r="A53" s="5" t="s">
        <v>42</v>
      </c>
      <c r="B53" s="3" t="s">
        <v>16</v>
      </c>
      <c r="C53" s="144" t="s">
        <v>8</v>
      </c>
      <c r="D53" s="144">
        <v>5420100590</v>
      </c>
      <c r="E53" s="153">
        <v>244</v>
      </c>
      <c r="F53" s="144">
        <v>290</v>
      </c>
      <c r="G53" s="2"/>
      <c r="H53" s="15">
        <v>60000</v>
      </c>
      <c r="I53" s="12">
        <v>3000</v>
      </c>
      <c r="J53" s="12">
        <v>4200</v>
      </c>
      <c r="K53" s="12">
        <v>0</v>
      </c>
      <c r="L53" s="12">
        <v>10700</v>
      </c>
      <c r="M53" s="12">
        <v>10700</v>
      </c>
      <c r="N53" s="12">
        <v>0</v>
      </c>
      <c r="O53" s="12">
        <v>0</v>
      </c>
      <c r="P53" s="12">
        <v>0</v>
      </c>
      <c r="Q53" s="12">
        <v>0</v>
      </c>
      <c r="R53" s="12">
        <v>10700</v>
      </c>
      <c r="S53" s="12">
        <v>10500</v>
      </c>
      <c r="T53" s="12">
        <v>10200</v>
      </c>
      <c r="U53" s="24">
        <f t="shared" si="14"/>
        <v>60000</v>
      </c>
      <c r="V53" s="21">
        <f t="shared" si="3"/>
        <v>60000</v>
      </c>
    </row>
    <row r="54" spans="1:22" ht="12.75">
      <c r="A54" s="5" t="s">
        <v>42</v>
      </c>
      <c r="B54" s="3" t="s">
        <v>18</v>
      </c>
      <c r="C54" s="144" t="s">
        <v>8</v>
      </c>
      <c r="D54" s="144">
        <v>5420100590</v>
      </c>
      <c r="E54" s="153">
        <v>244</v>
      </c>
      <c r="F54" s="144">
        <v>310</v>
      </c>
      <c r="G54" s="2"/>
      <c r="H54" s="15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24">
        <f t="shared" si="14"/>
        <v>0</v>
      </c>
      <c r="V54" s="21">
        <f t="shared" si="3"/>
        <v>0</v>
      </c>
    </row>
    <row r="55" spans="1:22" ht="12.75">
      <c r="A55" s="5" t="s">
        <v>42</v>
      </c>
      <c r="B55" s="3" t="s">
        <v>17</v>
      </c>
      <c r="C55" s="144" t="s">
        <v>8</v>
      </c>
      <c r="D55" s="144">
        <v>5420100590</v>
      </c>
      <c r="E55" s="153">
        <v>244</v>
      </c>
      <c r="F55" s="144">
        <v>340</v>
      </c>
      <c r="G55" s="2"/>
      <c r="H55" s="15">
        <v>90000</v>
      </c>
      <c r="I55" s="12">
        <v>10000</v>
      </c>
      <c r="J55" s="12">
        <v>1800</v>
      </c>
      <c r="K55" s="12">
        <v>11300</v>
      </c>
      <c r="L55" s="12">
        <v>10000</v>
      </c>
      <c r="M55" s="12">
        <v>0</v>
      </c>
      <c r="N55" s="12">
        <v>0</v>
      </c>
      <c r="O55" s="12">
        <v>0</v>
      </c>
      <c r="P55" s="12">
        <v>12000</v>
      </c>
      <c r="Q55" s="12">
        <v>0</v>
      </c>
      <c r="R55" s="12">
        <v>17585</v>
      </c>
      <c r="S55" s="12">
        <v>15515</v>
      </c>
      <c r="T55" s="12">
        <v>11800</v>
      </c>
      <c r="U55" s="24">
        <f t="shared" si="14"/>
        <v>90000</v>
      </c>
      <c r="V55" s="21">
        <f t="shared" si="3"/>
        <v>90000</v>
      </c>
    </row>
    <row r="56" spans="1:22" ht="12.75">
      <c r="A56" s="5" t="s">
        <v>42</v>
      </c>
      <c r="B56" s="3" t="s">
        <v>17</v>
      </c>
      <c r="C56" s="144" t="s">
        <v>8</v>
      </c>
      <c r="D56" s="144">
        <v>5420100590</v>
      </c>
      <c r="E56" s="153">
        <v>244</v>
      </c>
      <c r="F56" s="144">
        <v>340</v>
      </c>
      <c r="G56" s="2" t="s">
        <v>46</v>
      </c>
      <c r="H56" s="15">
        <f>391600+26177.52</f>
        <v>417777.52</v>
      </c>
      <c r="I56" s="12">
        <f>22700-4800+26177.52</f>
        <v>44077.520000000004</v>
      </c>
      <c r="J56" s="12">
        <f>17700-4800</f>
        <v>12900</v>
      </c>
      <c r="K56" s="12">
        <f>53000-4800</f>
        <v>48200</v>
      </c>
      <c r="L56" s="12">
        <f>39000-4800</f>
        <v>34200</v>
      </c>
      <c r="M56" s="12">
        <f>27700-4800</f>
        <v>22900</v>
      </c>
      <c r="N56" s="12">
        <f>42700-4800</f>
        <v>37900</v>
      </c>
      <c r="O56" s="12">
        <f>32700-4800</f>
        <v>27900</v>
      </c>
      <c r="P56" s="12">
        <f>42700-4800</f>
        <v>37900</v>
      </c>
      <c r="Q56" s="12">
        <f>42700-4800</f>
        <v>37900</v>
      </c>
      <c r="R56" s="12">
        <f>32700-4800</f>
        <v>27900</v>
      </c>
      <c r="S56" s="12">
        <f>42700-4800</f>
        <v>37900</v>
      </c>
      <c r="T56" s="12">
        <f>52900-4800</f>
        <v>48100</v>
      </c>
      <c r="U56" s="24">
        <f t="shared" si="14"/>
        <v>417777.52</v>
      </c>
      <c r="V56" s="21">
        <f t="shared" si="3"/>
        <v>417777.52</v>
      </c>
    </row>
    <row r="57" spans="1:22" ht="12.75">
      <c r="A57" s="5" t="s">
        <v>42</v>
      </c>
      <c r="B57" s="3" t="s">
        <v>16</v>
      </c>
      <c r="C57" s="144" t="s">
        <v>8</v>
      </c>
      <c r="D57" s="144">
        <v>5420100590</v>
      </c>
      <c r="E57" s="153">
        <v>851</v>
      </c>
      <c r="F57" s="144">
        <v>290</v>
      </c>
      <c r="G57" s="2" t="s">
        <v>60</v>
      </c>
      <c r="H57" s="15">
        <v>4000</v>
      </c>
      <c r="I57" s="12">
        <v>0</v>
      </c>
      <c r="J57" s="12">
        <v>0</v>
      </c>
      <c r="K57" s="12">
        <v>0</v>
      </c>
      <c r="L57" s="12">
        <v>1000</v>
      </c>
      <c r="M57" s="12">
        <v>0</v>
      </c>
      <c r="N57" s="12">
        <v>0</v>
      </c>
      <c r="O57" s="12">
        <v>1000</v>
      </c>
      <c r="P57" s="12">
        <v>0</v>
      </c>
      <c r="Q57" s="12">
        <v>0</v>
      </c>
      <c r="R57" s="12">
        <v>1000</v>
      </c>
      <c r="S57" s="12">
        <v>0</v>
      </c>
      <c r="T57" s="12">
        <v>1000</v>
      </c>
      <c r="U57" s="24">
        <f t="shared" si="14"/>
        <v>4000</v>
      </c>
      <c r="V57" s="21">
        <f t="shared" si="3"/>
        <v>4000</v>
      </c>
    </row>
    <row r="58" spans="1:22" ht="12.75">
      <c r="A58" s="5" t="s">
        <v>42</v>
      </c>
      <c r="B58" s="3" t="s">
        <v>16</v>
      </c>
      <c r="C58" s="144" t="s">
        <v>8</v>
      </c>
      <c r="D58" s="144">
        <v>5420100590</v>
      </c>
      <c r="E58" s="153">
        <v>852</v>
      </c>
      <c r="F58" s="144">
        <v>290</v>
      </c>
      <c r="G58" s="2" t="s">
        <v>60</v>
      </c>
      <c r="H58" s="15">
        <v>5000</v>
      </c>
      <c r="I58" s="12">
        <v>0</v>
      </c>
      <c r="J58" s="12">
        <v>0</v>
      </c>
      <c r="K58" s="12">
        <v>0</v>
      </c>
      <c r="L58" s="12">
        <v>1250</v>
      </c>
      <c r="M58" s="12">
        <v>0</v>
      </c>
      <c r="N58" s="12">
        <v>0</v>
      </c>
      <c r="O58" s="12">
        <v>1250</v>
      </c>
      <c r="P58" s="12">
        <v>0</v>
      </c>
      <c r="Q58" s="12">
        <v>0</v>
      </c>
      <c r="R58" s="12">
        <v>1250</v>
      </c>
      <c r="S58" s="12">
        <v>0</v>
      </c>
      <c r="T58" s="12">
        <v>1250</v>
      </c>
      <c r="U58" s="24">
        <f t="shared" si="14"/>
        <v>5000</v>
      </c>
      <c r="V58" s="21">
        <f t="shared" si="3"/>
        <v>5000</v>
      </c>
    </row>
    <row r="59" spans="1:22" ht="12.75">
      <c r="A59" s="5" t="s">
        <v>42</v>
      </c>
      <c r="B59" s="3" t="s">
        <v>16</v>
      </c>
      <c r="C59" s="144" t="s">
        <v>8</v>
      </c>
      <c r="D59" s="144">
        <v>5420100590</v>
      </c>
      <c r="E59" s="153">
        <v>853</v>
      </c>
      <c r="F59" s="144">
        <v>290</v>
      </c>
      <c r="G59" s="2" t="s">
        <v>60</v>
      </c>
      <c r="H59" s="15">
        <v>1200</v>
      </c>
      <c r="I59" s="12">
        <v>0</v>
      </c>
      <c r="J59" s="12">
        <v>0</v>
      </c>
      <c r="K59" s="12">
        <v>0</v>
      </c>
      <c r="L59" s="12">
        <v>300</v>
      </c>
      <c r="M59" s="12">
        <v>0</v>
      </c>
      <c r="N59" s="12">
        <v>0</v>
      </c>
      <c r="O59" s="12">
        <v>300</v>
      </c>
      <c r="P59" s="12">
        <v>0</v>
      </c>
      <c r="Q59" s="12">
        <v>0</v>
      </c>
      <c r="R59" s="12">
        <v>300</v>
      </c>
      <c r="S59" s="12">
        <v>0</v>
      </c>
      <c r="T59" s="12">
        <v>300</v>
      </c>
      <c r="U59" s="24">
        <f t="shared" si="14"/>
        <v>1200</v>
      </c>
      <c r="V59" s="21">
        <f t="shared" si="3"/>
        <v>1200</v>
      </c>
    </row>
    <row r="60" spans="1:22" ht="12.75">
      <c r="A60" s="5"/>
      <c r="B60" s="1"/>
      <c r="C60" s="113"/>
      <c r="D60" s="113"/>
      <c r="E60" s="120"/>
      <c r="F60" s="113"/>
      <c r="G60" s="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24"/>
      <c r="V60" s="21">
        <f t="shared" si="3"/>
        <v>0</v>
      </c>
    </row>
    <row r="61" spans="1:22" ht="51">
      <c r="A61" s="26" t="s">
        <v>42</v>
      </c>
      <c r="B61" s="35" t="s">
        <v>62</v>
      </c>
      <c r="C61" s="159" t="s">
        <v>8</v>
      </c>
      <c r="D61" s="160">
        <v>5430000000</v>
      </c>
      <c r="E61" s="124"/>
      <c r="F61" s="126"/>
      <c r="G61" s="51"/>
      <c r="H61" s="52">
        <f aca="true" t="shared" si="15" ref="H61:T61">H62+H63+H64+H65+H66</f>
        <v>1142400</v>
      </c>
      <c r="I61" s="52">
        <f t="shared" si="15"/>
        <v>62326</v>
      </c>
      <c r="J61" s="52">
        <f t="shared" si="15"/>
        <v>92600</v>
      </c>
      <c r="K61" s="52">
        <f t="shared" si="15"/>
        <v>92600</v>
      </c>
      <c r="L61" s="52">
        <f t="shared" si="15"/>
        <v>93100</v>
      </c>
      <c r="M61" s="52">
        <f t="shared" si="15"/>
        <v>92600</v>
      </c>
      <c r="N61" s="52">
        <f t="shared" si="15"/>
        <v>92600</v>
      </c>
      <c r="O61" s="52">
        <f t="shared" si="15"/>
        <v>67600</v>
      </c>
      <c r="P61" s="52">
        <f t="shared" si="15"/>
        <v>92600</v>
      </c>
      <c r="Q61" s="52">
        <f t="shared" si="15"/>
        <v>92600</v>
      </c>
      <c r="R61" s="52">
        <f t="shared" si="15"/>
        <v>92600</v>
      </c>
      <c r="S61" s="52">
        <f t="shared" si="15"/>
        <v>138874</v>
      </c>
      <c r="T61" s="52">
        <f t="shared" si="15"/>
        <v>132300</v>
      </c>
      <c r="U61" s="24">
        <f aca="true" t="shared" si="16" ref="U61:U66">I61+J61+K61+L61+M61+N61+O61+P61+Q61+R61+S61+T61</f>
        <v>1142400</v>
      </c>
      <c r="V61" s="21">
        <f t="shared" si="3"/>
        <v>1142400</v>
      </c>
    </row>
    <row r="62" spans="1:22" ht="12.75">
      <c r="A62" s="5" t="s">
        <v>42</v>
      </c>
      <c r="B62" s="3" t="s">
        <v>7</v>
      </c>
      <c r="C62" s="144" t="s">
        <v>8</v>
      </c>
      <c r="D62" s="144">
        <v>5430100590</v>
      </c>
      <c r="E62" s="153">
        <v>111</v>
      </c>
      <c r="F62" s="144">
        <v>211</v>
      </c>
      <c r="G62" s="2"/>
      <c r="H62" s="15">
        <f>854000+14</f>
        <v>854014</v>
      </c>
      <c r="I62" s="12">
        <f>47800+3300+14</f>
        <v>51114</v>
      </c>
      <c r="J62" s="12">
        <f>67800+3300</f>
        <v>71100</v>
      </c>
      <c r="K62" s="12">
        <f>67800+3300</f>
        <v>71100</v>
      </c>
      <c r="L62" s="12">
        <f>67800+3300</f>
        <v>71100</v>
      </c>
      <c r="M62" s="12">
        <f>67800+3300</f>
        <v>71100</v>
      </c>
      <c r="N62" s="12">
        <f>67800+3300</f>
        <v>71100</v>
      </c>
      <c r="O62" s="12">
        <f>47800+3300</f>
        <v>51100</v>
      </c>
      <c r="P62" s="12">
        <f>67800+3300</f>
        <v>71100</v>
      </c>
      <c r="Q62" s="12">
        <f>67800+3300</f>
        <v>71100</v>
      </c>
      <c r="R62" s="12">
        <f>67800+3300</f>
        <v>71100</v>
      </c>
      <c r="S62" s="12">
        <f>87800+4400</f>
        <v>92200</v>
      </c>
      <c r="T62" s="12">
        <f>87500+3300</f>
        <v>90800</v>
      </c>
      <c r="U62" s="24">
        <f t="shared" si="16"/>
        <v>854014</v>
      </c>
      <c r="V62" s="21">
        <f t="shared" si="3"/>
        <v>854014</v>
      </c>
    </row>
    <row r="63" spans="1:22" ht="12.75">
      <c r="A63" s="5" t="s">
        <v>42</v>
      </c>
      <c r="B63" s="3" t="s">
        <v>9</v>
      </c>
      <c r="C63" s="144" t="s">
        <v>8</v>
      </c>
      <c r="D63" s="144">
        <v>5430100590</v>
      </c>
      <c r="E63" s="153">
        <v>119</v>
      </c>
      <c r="F63" s="144">
        <v>213</v>
      </c>
      <c r="G63" s="2"/>
      <c r="H63" s="15">
        <f>257900+12</f>
        <v>257912</v>
      </c>
      <c r="I63" s="12">
        <f>11200+12</f>
        <v>11212</v>
      </c>
      <c r="J63" s="12">
        <v>21500</v>
      </c>
      <c r="K63" s="12">
        <v>21500</v>
      </c>
      <c r="L63" s="12">
        <v>21500</v>
      </c>
      <c r="M63" s="12">
        <v>21500</v>
      </c>
      <c r="N63" s="12">
        <v>21500</v>
      </c>
      <c r="O63" s="12">
        <v>11500</v>
      </c>
      <c r="P63" s="12">
        <v>21500</v>
      </c>
      <c r="Q63" s="12">
        <v>21500</v>
      </c>
      <c r="R63" s="12">
        <v>21500</v>
      </c>
      <c r="S63" s="12">
        <v>31700</v>
      </c>
      <c r="T63" s="12">
        <v>31500</v>
      </c>
      <c r="U63" s="24">
        <f t="shared" si="16"/>
        <v>257912</v>
      </c>
      <c r="V63" s="21">
        <f t="shared" si="3"/>
        <v>257912</v>
      </c>
    </row>
    <row r="64" spans="1:22" ht="12.75">
      <c r="A64" s="5" t="s">
        <v>42</v>
      </c>
      <c r="B64" s="3" t="s">
        <v>15</v>
      </c>
      <c r="C64" s="144" t="s">
        <v>8</v>
      </c>
      <c r="D64" s="144">
        <v>5430100590</v>
      </c>
      <c r="E64" s="153">
        <v>244</v>
      </c>
      <c r="F64" s="144">
        <v>226</v>
      </c>
      <c r="G64" s="2"/>
      <c r="H64" s="15">
        <f>20000-26</f>
        <v>19974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f>10000-26</f>
        <v>9974</v>
      </c>
      <c r="T64" s="12">
        <v>10000</v>
      </c>
      <c r="U64" s="24">
        <f t="shared" si="16"/>
        <v>19974</v>
      </c>
      <c r="V64" s="21">
        <f t="shared" si="3"/>
        <v>19974</v>
      </c>
    </row>
    <row r="65" spans="1:22" ht="12.75">
      <c r="A65" s="5" t="s">
        <v>42</v>
      </c>
      <c r="B65" s="3" t="s">
        <v>17</v>
      </c>
      <c r="C65" s="144" t="s">
        <v>8</v>
      </c>
      <c r="D65" s="144">
        <v>5430100590</v>
      </c>
      <c r="E65" s="153">
        <v>244</v>
      </c>
      <c r="F65" s="144">
        <v>340</v>
      </c>
      <c r="G65" s="2"/>
      <c r="H65" s="15">
        <v>10000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5000</v>
      </c>
      <c r="P65" s="12">
        <v>0</v>
      </c>
      <c r="Q65" s="12">
        <v>0</v>
      </c>
      <c r="R65" s="12">
        <v>0</v>
      </c>
      <c r="S65" s="12">
        <v>5000</v>
      </c>
      <c r="T65" s="12">
        <v>0</v>
      </c>
      <c r="U65" s="24">
        <f t="shared" si="16"/>
        <v>10000</v>
      </c>
      <c r="V65" s="21">
        <f t="shared" si="3"/>
        <v>10000</v>
      </c>
    </row>
    <row r="66" spans="1:22" ht="12.75">
      <c r="A66" s="5" t="s">
        <v>42</v>
      </c>
      <c r="B66" s="3" t="s">
        <v>16</v>
      </c>
      <c r="C66" s="144" t="s">
        <v>8</v>
      </c>
      <c r="D66" s="144">
        <v>5430100590</v>
      </c>
      <c r="E66" s="153">
        <v>853</v>
      </c>
      <c r="F66" s="144">
        <v>290</v>
      </c>
      <c r="G66" s="2" t="s">
        <v>60</v>
      </c>
      <c r="H66" s="15">
        <v>500</v>
      </c>
      <c r="I66" s="12">
        <v>0</v>
      </c>
      <c r="J66" s="12">
        <v>0</v>
      </c>
      <c r="K66" s="12">
        <v>0</v>
      </c>
      <c r="L66" s="12">
        <v>500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24">
        <f t="shared" si="16"/>
        <v>500</v>
      </c>
      <c r="V66" s="21">
        <f t="shared" si="3"/>
        <v>500</v>
      </c>
    </row>
    <row r="67" spans="1:22" ht="12.75">
      <c r="A67" s="5"/>
      <c r="B67" s="1"/>
      <c r="C67" s="113"/>
      <c r="D67" s="113"/>
      <c r="E67" s="120"/>
      <c r="F67" s="113"/>
      <c r="G67" s="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4"/>
      <c r="V67" s="21">
        <f t="shared" si="3"/>
        <v>0</v>
      </c>
    </row>
    <row r="68" spans="1:22" ht="89.25">
      <c r="A68" s="26" t="s">
        <v>42</v>
      </c>
      <c r="B68" s="35" t="s">
        <v>117</v>
      </c>
      <c r="C68" s="148" t="s">
        <v>8</v>
      </c>
      <c r="D68" s="161">
        <v>5500000000</v>
      </c>
      <c r="E68" s="124"/>
      <c r="F68" s="126"/>
      <c r="G68" s="41"/>
      <c r="H68" s="39">
        <f>H70+H86+H89+H93</f>
        <v>1258230.71</v>
      </c>
      <c r="I68" s="39">
        <f aca="true" t="shared" si="17" ref="I68:T68">I70+I86+I89+I93</f>
        <v>44137.5</v>
      </c>
      <c r="J68" s="39">
        <f t="shared" si="17"/>
        <v>57100</v>
      </c>
      <c r="K68" s="39">
        <f t="shared" si="17"/>
        <v>81008.73</v>
      </c>
      <c r="L68" s="39">
        <f t="shared" si="17"/>
        <v>186100</v>
      </c>
      <c r="M68" s="39">
        <f t="shared" si="17"/>
        <v>64100</v>
      </c>
      <c r="N68" s="39">
        <f t="shared" si="17"/>
        <v>59800</v>
      </c>
      <c r="O68" s="39">
        <f t="shared" si="17"/>
        <v>85100</v>
      </c>
      <c r="P68" s="39">
        <f t="shared" si="17"/>
        <v>44100</v>
      </c>
      <c r="Q68" s="39">
        <f t="shared" si="17"/>
        <v>49400</v>
      </c>
      <c r="R68" s="39">
        <f t="shared" si="17"/>
        <v>150400</v>
      </c>
      <c r="S68" s="39">
        <f t="shared" si="17"/>
        <v>172357.48</v>
      </c>
      <c r="T68" s="39">
        <f t="shared" si="17"/>
        <v>264627</v>
      </c>
      <c r="U68" s="24">
        <f>I68+J68+K68+L68+M68+N68+O68+P68+Q68+R68+S68+T68</f>
        <v>1258230.71</v>
      </c>
      <c r="V68" s="21">
        <f t="shared" si="3"/>
        <v>1258230.71</v>
      </c>
    </row>
    <row r="69" spans="1:22" ht="12.75">
      <c r="A69" s="5"/>
      <c r="B69" s="1"/>
      <c r="C69" s="113"/>
      <c r="D69" s="113"/>
      <c r="E69" s="120"/>
      <c r="F69" s="113"/>
      <c r="G69" s="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4"/>
      <c r="V69" s="21">
        <f t="shared" si="3"/>
        <v>0</v>
      </c>
    </row>
    <row r="70" spans="1:22" ht="86.25" customHeight="1">
      <c r="A70" s="26" t="s">
        <v>42</v>
      </c>
      <c r="B70" s="35" t="s">
        <v>118</v>
      </c>
      <c r="C70" s="159" t="s">
        <v>8</v>
      </c>
      <c r="D70" s="160">
        <v>5510000000</v>
      </c>
      <c r="E70" s="124"/>
      <c r="F70" s="126"/>
      <c r="G70" s="51"/>
      <c r="H70" s="52">
        <f>H71+H72+H73+H74+H75+H76+H80+H81+H82+H83</f>
        <v>803630.71</v>
      </c>
      <c r="I70" s="52">
        <f aca="true" t="shared" si="18" ref="I70:T70">I71+I72+I73+I74+I75+I76+I80+I81+I82+I83</f>
        <v>44137.5</v>
      </c>
      <c r="J70" s="52">
        <f t="shared" si="18"/>
        <v>28400</v>
      </c>
      <c r="K70" s="52">
        <f t="shared" si="18"/>
        <v>52308.729999999996</v>
      </c>
      <c r="L70" s="52">
        <f t="shared" si="18"/>
        <v>157400</v>
      </c>
      <c r="M70" s="52">
        <f t="shared" si="18"/>
        <v>35400</v>
      </c>
      <c r="N70" s="52">
        <f t="shared" si="18"/>
        <v>31100</v>
      </c>
      <c r="O70" s="52">
        <f t="shared" si="18"/>
        <v>56400</v>
      </c>
      <c r="P70" s="52">
        <f t="shared" si="18"/>
        <v>15400</v>
      </c>
      <c r="Q70" s="52">
        <f t="shared" si="18"/>
        <v>20700</v>
      </c>
      <c r="R70" s="52">
        <f t="shared" si="18"/>
        <v>116700</v>
      </c>
      <c r="S70" s="52">
        <f t="shared" si="18"/>
        <v>137057.48</v>
      </c>
      <c r="T70" s="52">
        <f t="shared" si="18"/>
        <v>108627</v>
      </c>
      <c r="U70" s="24">
        <f aca="true" t="shared" si="19" ref="U70:U85">I70+J70+K70+L70+M70+N70+O70+P70+Q70+R70+S70+T70</f>
        <v>803630.71</v>
      </c>
      <c r="V70" s="21">
        <f>SUM(I70:T70)</f>
        <v>803630.71</v>
      </c>
    </row>
    <row r="71" spans="1:22" ht="41.25" customHeight="1" hidden="1">
      <c r="A71" s="5" t="s">
        <v>42</v>
      </c>
      <c r="B71" s="47" t="s">
        <v>16</v>
      </c>
      <c r="C71" s="119" t="s">
        <v>8</v>
      </c>
      <c r="D71" s="127">
        <v>5510110010</v>
      </c>
      <c r="E71" s="127">
        <v>244</v>
      </c>
      <c r="F71" s="127">
        <v>290</v>
      </c>
      <c r="G71" s="48"/>
      <c r="H71" s="15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24">
        <f t="shared" si="19"/>
        <v>0</v>
      </c>
      <c r="V71" s="21">
        <f t="shared" si="3"/>
        <v>0</v>
      </c>
    </row>
    <row r="72" spans="1:22" ht="24.75" customHeight="1">
      <c r="A72" s="5" t="s">
        <v>42</v>
      </c>
      <c r="B72" s="3" t="s">
        <v>12</v>
      </c>
      <c r="C72" s="152" t="s">
        <v>8</v>
      </c>
      <c r="D72" s="162">
        <v>5510110010</v>
      </c>
      <c r="E72" s="162">
        <v>244</v>
      </c>
      <c r="F72" s="162">
        <v>221</v>
      </c>
      <c r="G72" s="48" t="s">
        <v>100</v>
      </c>
      <c r="H72" s="15">
        <v>8000</v>
      </c>
      <c r="I72" s="12">
        <v>600</v>
      </c>
      <c r="J72" s="12">
        <v>600</v>
      </c>
      <c r="K72" s="12">
        <v>600</v>
      </c>
      <c r="L72" s="12">
        <v>600</v>
      </c>
      <c r="M72" s="12">
        <v>600</v>
      </c>
      <c r="N72" s="12">
        <v>600</v>
      </c>
      <c r="O72" s="12">
        <v>600</v>
      </c>
      <c r="P72" s="12">
        <v>600</v>
      </c>
      <c r="Q72" s="12">
        <v>600</v>
      </c>
      <c r="R72" s="12">
        <v>600</v>
      </c>
      <c r="S72" s="12">
        <v>1000</v>
      </c>
      <c r="T72" s="12">
        <v>1000</v>
      </c>
      <c r="U72" s="24">
        <f t="shared" si="19"/>
        <v>8000</v>
      </c>
      <c r="V72" s="21">
        <f aca="true" t="shared" si="20" ref="V72:V135">SUM(I72:T72)</f>
        <v>8000</v>
      </c>
    </row>
    <row r="73" spans="1:22" ht="24.75" customHeight="1">
      <c r="A73" s="5" t="s">
        <v>42</v>
      </c>
      <c r="B73" s="3" t="s">
        <v>13</v>
      </c>
      <c r="C73" s="152" t="s">
        <v>8</v>
      </c>
      <c r="D73" s="162">
        <v>5510110010</v>
      </c>
      <c r="E73" s="162">
        <v>244</v>
      </c>
      <c r="F73" s="162">
        <v>223</v>
      </c>
      <c r="G73" s="48" t="s">
        <v>101</v>
      </c>
      <c r="H73" s="15">
        <v>171700</v>
      </c>
      <c r="I73" s="12">
        <v>14300</v>
      </c>
      <c r="J73" s="12">
        <v>14300</v>
      </c>
      <c r="K73" s="12">
        <v>14300</v>
      </c>
      <c r="L73" s="12">
        <v>14300</v>
      </c>
      <c r="M73" s="12">
        <v>14300</v>
      </c>
      <c r="N73" s="12">
        <v>10000</v>
      </c>
      <c r="O73" s="12">
        <v>5000</v>
      </c>
      <c r="P73" s="12">
        <v>10000</v>
      </c>
      <c r="Q73" s="12">
        <v>14300</v>
      </c>
      <c r="R73" s="12">
        <v>18600</v>
      </c>
      <c r="S73" s="12">
        <v>18600</v>
      </c>
      <c r="T73" s="12">
        <v>23700</v>
      </c>
      <c r="U73" s="24">
        <f t="shared" si="19"/>
        <v>171700</v>
      </c>
      <c r="V73" s="21">
        <f t="shared" si="20"/>
        <v>171700</v>
      </c>
    </row>
    <row r="74" spans="1:22" ht="18.75" customHeight="1">
      <c r="A74" s="5" t="s">
        <v>42</v>
      </c>
      <c r="B74" s="3" t="s">
        <v>13</v>
      </c>
      <c r="C74" s="152" t="s">
        <v>8</v>
      </c>
      <c r="D74" s="162">
        <v>5510110010</v>
      </c>
      <c r="E74" s="162">
        <v>244</v>
      </c>
      <c r="F74" s="162">
        <v>223</v>
      </c>
      <c r="G74" s="48" t="s">
        <v>43</v>
      </c>
      <c r="H74" s="15">
        <v>11500</v>
      </c>
      <c r="I74" s="12">
        <v>900</v>
      </c>
      <c r="J74" s="12">
        <v>900</v>
      </c>
      <c r="K74" s="12">
        <v>900</v>
      </c>
      <c r="L74" s="12">
        <v>900</v>
      </c>
      <c r="M74" s="12">
        <v>900</v>
      </c>
      <c r="N74" s="12">
        <v>900</v>
      </c>
      <c r="O74" s="12">
        <v>900</v>
      </c>
      <c r="P74" s="12">
        <v>900</v>
      </c>
      <c r="Q74" s="12">
        <v>900</v>
      </c>
      <c r="R74" s="12">
        <v>900</v>
      </c>
      <c r="S74" s="12">
        <v>900</v>
      </c>
      <c r="T74" s="12">
        <v>1600</v>
      </c>
      <c r="U74" s="24">
        <f t="shared" si="19"/>
        <v>11500</v>
      </c>
      <c r="V74" s="21">
        <f t="shared" si="20"/>
        <v>11500</v>
      </c>
    </row>
    <row r="75" spans="1:22" ht="15.75" customHeight="1">
      <c r="A75" s="5" t="s">
        <v>42</v>
      </c>
      <c r="B75" s="3" t="s">
        <v>13</v>
      </c>
      <c r="C75" s="152" t="s">
        <v>8</v>
      </c>
      <c r="D75" s="162">
        <v>5510110010</v>
      </c>
      <c r="E75" s="162">
        <v>244</v>
      </c>
      <c r="F75" s="162">
        <v>223</v>
      </c>
      <c r="G75" s="48" t="s">
        <v>45</v>
      </c>
      <c r="H75" s="15">
        <f>187800-57942.52</f>
        <v>129857.48000000001</v>
      </c>
      <c r="I75" s="12">
        <v>7000</v>
      </c>
      <c r="J75" s="12">
        <v>8700</v>
      </c>
      <c r="K75" s="12">
        <v>15700</v>
      </c>
      <c r="L75" s="12">
        <v>15700</v>
      </c>
      <c r="M75" s="12">
        <v>15700</v>
      </c>
      <c r="N75" s="12">
        <v>15700</v>
      </c>
      <c r="O75" s="12">
        <v>0</v>
      </c>
      <c r="P75" s="12">
        <v>0</v>
      </c>
      <c r="Q75" s="12">
        <v>0</v>
      </c>
      <c r="R75" s="12">
        <v>15700</v>
      </c>
      <c r="S75" s="12">
        <f>38400-2742.52</f>
        <v>35657.48</v>
      </c>
      <c r="T75" s="12">
        <f>55200-57942.52+2742.52</f>
        <v>0</v>
      </c>
      <c r="U75" s="24">
        <f t="shared" si="19"/>
        <v>129857.48000000001</v>
      </c>
      <c r="V75" s="21">
        <f t="shared" si="20"/>
        <v>129857.48000000001</v>
      </c>
    </row>
    <row r="76" spans="1:22" ht="17.25" customHeight="1">
      <c r="A76" s="5" t="s">
        <v>42</v>
      </c>
      <c r="B76" s="3" t="s">
        <v>13</v>
      </c>
      <c r="C76" s="152" t="s">
        <v>8</v>
      </c>
      <c r="D76" s="162">
        <v>5510110010</v>
      </c>
      <c r="E76" s="162">
        <v>244</v>
      </c>
      <c r="F76" s="162">
        <v>223</v>
      </c>
      <c r="G76" s="48" t="s">
        <v>102</v>
      </c>
      <c r="H76" s="15">
        <v>50000</v>
      </c>
      <c r="I76" s="12">
        <v>2000</v>
      </c>
      <c r="J76" s="12">
        <v>3900</v>
      </c>
      <c r="K76" s="12">
        <v>3900</v>
      </c>
      <c r="L76" s="12">
        <v>3900</v>
      </c>
      <c r="M76" s="12">
        <v>3900</v>
      </c>
      <c r="N76" s="12">
        <v>3900</v>
      </c>
      <c r="O76" s="12">
        <v>3900</v>
      </c>
      <c r="P76" s="12">
        <v>3900</v>
      </c>
      <c r="Q76" s="12">
        <v>4900</v>
      </c>
      <c r="R76" s="12">
        <v>4900</v>
      </c>
      <c r="S76" s="12">
        <v>4900</v>
      </c>
      <c r="T76" s="12">
        <v>6000</v>
      </c>
      <c r="U76" s="24">
        <f t="shared" si="19"/>
        <v>50000</v>
      </c>
      <c r="V76" s="21">
        <f t="shared" si="20"/>
        <v>50000</v>
      </c>
    </row>
    <row r="77" spans="1:22" ht="41.25" customHeight="1" hidden="1">
      <c r="A77" s="5"/>
      <c r="B77" s="47"/>
      <c r="C77" s="119"/>
      <c r="D77" s="127"/>
      <c r="E77" s="127"/>
      <c r="F77" s="127"/>
      <c r="G77" s="48"/>
      <c r="H77" s="1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24"/>
      <c r="V77" s="21">
        <f t="shared" si="20"/>
        <v>0</v>
      </c>
    </row>
    <row r="78" spans="1:22" ht="41.25" customHeight="1" hidden="1">
      <c r="A78" s="5"/>
      <c r="B78" s="47"/>
      <c r="C78" s="119"/>
      <c r="D78" s="127"/>
      <c r="E78" s="127"/>
      <c r="F78" s="127"/>
      <c r="G78" s="48"/>
      <c r="H78" s="1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24"/>
      <c r="V78" s="21">
        <f t="shared" si="20"/>
        <v>0</v>
      </c>
    </row>
    <row r="79" spans="1:22" ht="41.25" customHeight="1" hidden="1">
      <c r="A79" s="5"/>
      <c r="B79" s="47"/>
      <c r="C79" s="119"/>
      <c r="D79" s="127"/>
      <c r="E79" s="127"/>
      <c r="F79" s="127"/>
      <c r="G79" s="48"/>
      <c r="H79" s="1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24"/>
      <c r="V79" s="21">
        <f t="shared" si="20"/>
        <v>0</v>
      </c>
    </row>
    <row r="80" spans="1:22" ht="12.75">
      <c r="A80" s="5" t="s">
        <v>42</v>
      </c>
      <c r="B80" s="3" t="s">
        <v>17</v>
      </c>
      <c r="C80" s="144" t="s">
        <v>8</v>
      </c>
      <c r="D80" s="162">
        <v>5510110010</v>
      </c>
      <c r="E80" s="145">
        <v>244</v>
      </c>
      <c r="F80" s="144">
        <v>340</v>
      </c>
      <c r="G80" s="7"/>
      <c r="H80" s="15">
        <f>304300+19364.5</f>
        <v>323664.5</v>
      </c>
      <c r="I80" s="12">
        <v>19337.5</v>
      </c>
      <c r="J80" s="12">
        <v>0</v>
      </c>
      <c r="K80" s="12">
        <v>0</v>
      </c>
      <c r="L80" s="12">
        <v>76000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76000</v>
      </c>
      <c r="S80" s="12">
        <v>76000</v>
      </c>
      <c r="T80" s="12">
        <f>76300+33-6</f>
        <v>76327</v>
      </c>
      <c r="U80" s="24">
        <f t="shared" si="19"/>
        <v>323664.5</v>
      </c>
      <c r="V80" s="21">
        <f t="shared" si="20"/>
        <v>323664.5</v>
      </c>
    </row>
    <row r="81" spans="1:22" ht="12.75" hidden="1">
      <c r="A81" s="5" t="s">
        <v>42</v>
      </c>
      <c r="B81" s="3" t="s">
        <v>17</v>
      </c>
      <c r="C81" s="113" t="s">
        <v>8</v>
      </c>
      <c r="D81" s="127">
        <v>5510110010</v>
      </c>
      <c r="E81" s="114">
        <v>244</v>
      </c>
      <c r="F81" s="113">
        <v>340</v>
      </c>
      <c r="G81" s="7" t="s">
        <v>46</v>
      </c>
      <c r="H81" s="100">
        <v>0</v>
      </c>
      <c r="I81" s="78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  <c r="U81" s="24">
        <f t="shared" si="19"/>
        <v>0</v>
      </c>
      <c r="V81" s="21">
        <f t="shared" si="20"/>
        <v>0</v>
      </c>
    </row>
    <row r="82" spans="1:22" ht="12.75">
      <c r="A82" s="5" t="s">
        <v>42</v>
      </c>
      <c r="B82" s="3" t="s">
        <v>15</v>
      </c>
      <c r="C82" s="144" t="s">
        <v>8</v>
      </c>
      <c r="D82" s="162">
        <v>5510110010</v>
      </c>
      <c r="E82" s="145">
        <v>244</v>
      </c>
      <c r="F82" s="144">
        <v>226</v>
      </c>
      <c r="G82" s="7"/>
      <c r="H82" s="100">
        <f>185027-57942.52-95391.27-2700+79915.52</f>
        <v>108908.73000000001</v>
      </c>
      <c r="I82" s="101">
        <v>0</v>
      </c>
      <c r="J82" s="101">
        <v>0</v>
      </c>
      <c r="K82" s="101">
        <f>57942.52-41033.79</f>
        <v>16908.729999999996</v>
      </c>
      <c r="L82" s="101">
        <v>46000</v>
      </c>
      <c r="M82" s="101">
        <v>0</v>
      </c>
      <c r="N82" s="101">
        <v>0</v>
      </c>
      <c r="O82" s="101">
        <v>46000</v>
      </c>
      <c r="P82" s="101">
        <v>0</v>
      </c>
      <c r="Q82" s="101">
        <v>0</v>
      </c>
      <c r="R82" s="101">
        <f>46000-46000</f>
        <v>0</v>
      </c>
      <c r="S82" s="101">
        <v>0</v>
      </c>
      <c r="T82" s="101">
        <f>47027+79915.52-126942.52</f>
        <v>0</v>
      </c>
      <c r="U82" s="24">
        <f t="shared" si="19"/>
        <v>108908.73</v>
      </c>
      <c r="V82" s="21">
        <f t="shared" si="20"/>
        <v>108908.73</v>
      </c>
    </row>
    <row r="83" spans="1:22" ht="12.75" hidden="1">
      <c r="A83" s="5" t="s">
        <v>42</v>
      </c>
      <c r="B83" s="47" t="s">
        <v>16</v>
      </c>
      <c r="C83" s="113" t="s">
        <v>8</v>
      </c>
      <c r="D83" s="127">
        <v>5510110010</v>
      </c>
      <c r="E83" s="114">
        <v>244</v>
      </c>
      <c r="F83" s="113">
        <v>290</v>
      </c>
      <c r="G83" s="7" t="s">
        <v>60</v>
      </c>
      <c r="H83" s="100">
        <v>0</v>
      </c>
      <c r="I83" s="78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24">
        <f t="shared" si="19"/>
        <v>0</v>
      </c>
      <c r="V83" s="21">
        <f t="shared" si="20"/>
        <v>0</v>
      </c>
    </row>
    <row r="84" spans="1:22" ht="12.75">
      <c r="A84" s="5"/>
      <c r="B84" s="3"/>
      <c r="C84" s="113"/>
      <c r="D84" s="127"/>
      <c r="E84" s="114"/>
      <c r="F84" s="113"/>
      <c r="G84" s="7"/>
      <c r="H84" s="101"/>
      <c r="I84" s="78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24">
        <f t="shared" si="19"/>
        <v>0</v>
      </c>
      <c r="V84" s="21">
        <f t="shared" si="20"/>
        <v>0</v>
      </c>
    </row>
    <row r="85" spans="1:22" ht="12.75" hidden="1">
      <c r="A85" s="42"/>
      <c r="B85" s="43"/>
      <c r="C85" s="125"/>
      <c r="D85" s="125"/>
      <c r="E85" s="127"/>
      <c r="F85" s="125"/>
      <c r="G85" s="46"/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24">
        <f t="shared" si="19"/>
        <v>0</v>
      </c>
      <c r="V85" s="21">
        <f t="shared" si="20"/>
        <v>0</v>
      </c>
    </row>
    <row r="86" spans="1:22" ht="123" customHeight="1">
      <c r="A86" s="26" t="s">
        <v>42</v>
      </c>
      <c r="B86" s="35" t="s">
        <v>119</v>
      </c>
      <c r="C86" s="159" t="s">
        <v>8</v>
      </c>
      <c r="D86" s="160">
        <v>5520000000</v>
      </c>
      <c r="E86" s="160"/>
      <c r="F86" s="126"/>
      <c r="G86" s="51"/>
      <c r="H86" s="100">
        <f aca="true" t="shared" si="21" ref="H86:T86">H87</f>
        <v>344600</v>
      </c>
      <c r="I86" s="100">
        <f t="shared" si="21"/>
        <v>0</v>
      </c>
      <c r="J86" s="100">
        <f t="shared" si="21"/>
        <v>28700</v>
      </c>
      <c r="K86" s="100">
        <f t="shared" si="21"/>
        <v>28700</v>
      </c>
      <c r="L86" s="100">
        <f t="shared" si="21"/>
        <v>28700</v>
      </c>
      <c r="M86" s="100">
        <f t="shared" si="21"/>
        <v>28700</v>
      </c>
      <c r="N86" s="100">
        <f t="shared" si="21"/>
        <v>28700</v>
      </c>
      <c r="O86" s="100">
        <f t="shared" si="21"/>
        <v>28700</v>
      </c>
      <c r="P86" s="100">
        <f t="shared" si="21"/>
        <v>28700</v>
      </c>
      <c r="Q86" s="100">
        <f t="shared" si="21"/>
        <v>28700</v>
      </c>
      <c r="R86" s="100">
        <f t="shared" si="21"/>
        <v>28700</v>
      </c>
      <c r="S86" s="100">
        <f t="shared" si="21"/>
        <v>30300</v>
      </c>
      <c r="T86" s="100">
        <f t="shared" si="21"/>
        <v>56000</v>
      </c>
      <c r="U86" s="24">
        <f>I86+J86+K86+L86+M86+N86+O86+P86+Q86+R86+S86+T86</f>
        <v>344600</v>
      </c>
      <c r="V86" s="21">
        <f t="shared" si="20"/>
        <v>344600</v>
      </c>
    </row>
    <row r="87" spans="1:22" ht="24.75" customHeight="1">
      <c r="A87" s="5" t="s">
        <v>42</v>
      </c>
      <c r="B87" s="47" t="s">
        <v>15</v>
      </c>
      <c r="C87" s="152" t="s">
        <v>8</v>
      </c>
      <c r="D87" s="162">
        <v>5520110020</v>
      </c>
      <c r="E87" s="162">
        <v>360</v>
      </c>
      <c r="F87" s="127"/>
      <c r="G87" s="46" t="s">
        <v>63</v>
      </c>
      <c r="H87" s="15">
        <v>344600</v>
      </c>
      <c r="I87" s="12">
        <v>0</v>
      </c>
      <c r="J87" s="12">
        <f>27300+1400</f>
        <v>28700</v>
      </c>
      <c r="K87" s="12">
        <f aca="true" t="shared" si="22" ref="K87:R87">27300+1400</f>
        <v>28700</v>
      </c>
      <c r="L87" s="12">
        <f t="shared" si="22"/>
        <v>28700</v>
      </c>
      <c r="M87" s="12">
        <f t="shared" si="22"/>
        <v>28700</v>
      </c>
      <c r="N87" s="12">
        <f t="shared" si="22"/>
        <v>28700</v>
      </c>
      <c r="O87" s="12">
        <f t="shared" si="22"/>
        <v>28700</v>
      </c>
      <c r="P87" s="12">
        <f t="shared" si="22"/>
        <v>28700</v>
      </c>
      <c r="Q87" s="12">
        <f t="shared" si="22"/>
        <v>28700</v>
      </c>
      <c r="R87" s="12">
        <f t="shared" si="22"/>
        <v>28700</v>
      </c>
      <c r="S87" s="12">
        <f>27300+1400+1600</f>
        <v>30300</v>
      </c>
      <c r="T87" s="12">
        <f>54600+1400</f>
        <v>56000</v>
      </c>
      <c r="U87" s="24">
        <f>I87+J87+K87+L87+M87+N87+O87+P87+Q87+R87+S87+T87</f>
        <v>344600</v>
      </c>
      <c r="V87" s="21">
        <f t="shared" si="20"/>
        <v>344600</v>
      </c>
    </row>
    <row r="88" spans="1:22" ht="12.75">
      <c r="A88" s="5"/>
      <c r="B88" s="1"/>
      <c r="C88" s="144"/>
      <c r="D88" s="144"/>
      <c r="E88" s="153"/>
      <c r="F88" s="113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V88" s="21">
        <f t="shared" si="20"/>
        <v>0</v>
      </c>
    </row>
    <row r="89" spans="1:22" ht="114.75">
      <c r="A89" s="26" t="s">
        <v>42</v>
      </c>
      <c r="B89" s="35" t="s">
        <v>120</v>
      </c>
      <c r="C89" s="159" t="s">
        <v>8</v>
      </c>
      <c r="D89" s="160">
        <v>5530000000</v>
      </c>
      <c r="E89" s="160"/>
      <c r="F89" s="163"/>
      <c r="G89" s="36"/>
      <c r="H89" s="100">
        <f aca="true" t="shared" si="23" ref="H89:T89">H91</f>
        <v>10000</v>
      </c>
      <c r="I89" s="52">
        <f t="shared" si="23"/>
        <v>0</v>
      </c>
      <c r="J89" s="52">
        <f t="shared" si="23"/>
        <v>0</v>
      </c>
      <c r="K89" s="52">
        <f t="shared" si="23"/>
        <v>0</v>
      </c>
      <c r="L89" s="52">
        <f t="shared" si="23"/>
        <v>0</v>
      </c>
      <c r="M89" s="52">
        <f t="shared" si="23"/>
        <v>0</v>
      </c>
      <c r="N89" s="52">
        <f t="shared" si="23"/>
        <v>0</v>
      </c>
      <c r="O89" s="52">
        <f t="shared" si="23"/>
        <v>0</v>
      </c>
      <c r="P89" s="52">
        <f t="shared" si="23"/>
        <v>0</v>
      </c>
      <c r="Q89" s="52">
        <f t="shared" si="23"/>
        <v>0</v>
      </c>
      <c r="R89" s="52">
        <f t="shared" si="23"/>
        <v>5000</v>
      </c>
      <c r="S89" s="52">
        <f t="shared" si="23"/>
        <v>5000</v>
      </c>
      <c r="T89" s="52">
        <f t="shared" si="23"/>
        <v>0</v>
      </c>
      <c r="U89" s="24">
        <f>I89+J89+K89+L89+M89+N89+O89+P89+Q89+R89+S89+T89</f>
        <v>10000</v>
      </c>
      <c r="V89" s="21">
        <f t="shared" si="20"/>
        <v>10000</v>
      </c>
    </row>
    <row r="90" spans="1:22" ht="12.75">
      <c r="A90" s="26"/>
      <c r="B90" s="35"/>
      <c r="C90" s="159"/>
      <c r="D90" s="160"/>
      <c r="E90" s="160"/>
      <c r="F90" s="163"/>
      <c r="G90" s="36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V90" s="21">
        <f t="shared" si="20"/>
        <v>0</v>
      </c>
    </row>
    <row r="91" spans="1:22" ht="12.75">
      <c r="A91" s="5" t="s">
        <v>42</v>
      </c>
      <c r="B91" s="47" t="s">
        <v>16</v>
      </c>
      <c r="C91" s="152" t="s">
        <v>8</v>
      </c>
      <c r="D91" s="162">
        <v>5530110030</v>
      </c>
      <c r="E91" s="153">
        <v>244</v>
      </c>
      <c r="F91" s="144">
        <v>290</v>
      </c>
      <c r="G91" s="7"/>
      <c r="H91" s="15">
        <v>10000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5000</v>
      </c>
      <c r="S91" s="12">
        <v>5000</v>
      </c>
      <c r="T91" s="12">
        <v>0</v>
      </c>
      <c r="U91" s="24">
        <f>I91+J91+K91+L91+M91+N91+O91+P91+Q91+R91+S91+T91</f>
        <v>10000</v>
      </c>
      <c r="V91" s="21">
        <f t="shared" si="20"/>
        <v>10000</v>
      </c>
    </row>
    <row r="92" spans="1:22" ht="12.75">
      <c r="A92" s="5"/>
      <c r="B92" s="47"/>
      <c r="C92" s="119"/>
      <c r="D92" s="127"/>
      <c r="E92" s="120"/>
      <c r="F92" s="113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4">
        <f>I92+J92+K92+L92+M92+N92+O92+P92+Q92+R92+S92+T92</f>
        <v>0</v>
      </c>
      <c r="V92" s="21">
        <f t="shared" si="20"/>
        <v>0</v>
      </c>
    </row>
    <row r="93" spans="1:22" ht="89.25">
      <c r="A93" s="26" t="s">
        <v>42</v>
      </c>
      <c r="B93" s="35" t="s">
        <v>121</v>
      </c>
      <c r="C93" s="159" t="s">
        <v>8</v>
      </c>
      <c r="D93" s="160">
        <v>5540000000</v>
      </c>
      <c r="E93" s="160"/>
      <c r="F93" s="163"/>
      <c r="G93" s="51"/>
      <c r="H93" s="15">
        <f>H94</f>
        <v>100000</v>
      </c>
      <c r="I93" s="15">
        <f aca="true" t="shared" si="24" ref="I93:T93">I94</f>
        <v>0</v>
      </c>
      <c r="J93" s="15">
        <f t="shared" si="24"/>
        <v>0</v>
      </c>
      <c r="K93" s="15">
        <f t="shared" si="24"/>
        <v>0</v>
      </c>
      <c r="L93" s="15">
        <f t="shared" si="24"/>
        <v>0</v>
      </c>
      <c r="M93" s="15">
        <f t="shared" si="24"/>
        <v>0</v>
      </c>
      <c r="N93" s="15">
        <f t="shared" si="24"/>
        <v>0</v>
      </c>
      <c r="O93" s="15">
        <f t="shared" si="24"/>
        <v>0</v>
      </c>
      <c r="P93" s="15">
        <f t="shared" si="24"/>
        <v>0</v>
      </c>
      <c r="Q93" s="15">
        <f t="shared" si="24"/>
        <v>0</v>
      </c>
      <c r="R93" s="15">
        <f t="shared" si="24"/>
        <v>0</v>
      </c>
      <c r="S93" s="15">
        <f t="shared" si="24"/>
        <v>0</v>
      </c>
      <c r="T93" s="15">
        <f t="shared" si="24"/>
        <v>100000</v>
      </c>
      <c r="U93" s="24">
        <f>I93+J93+K93+L93+M93+N93+O93+P93+Q93+R93+S93+T93</f>
        <v>100000</v>
      </c>
      <c r="V93" s="21">
        <f t="shared" si="20"/>
        <v>100000</v>
      </c>
    </row>
    <row r="94" spans="1:22" ht="12.75">
      <c r="A94" s="5" t="s">
        <v>42</v>
      </c>
      <c r="B94" s="47" t="s">
        <v>15</v>
      </c>
      <c r="C94" s="152" t="s">
        <v>8</v>
      </c>
      <c r="D94" s="162">
        <v>5540110040</v>
      </c>
      <c r="E94" s="153">
        <v>244</v>
      </c>
      <c r="F94" s="144">
        <v>226</v>
      </c>
      <c r="G94" s="2"/>
      <c r="H94" s="15">
        <v>100000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v>100000</v>
      </c>
      <c r="U94" s="24">
        <f>I94+J94+K94+L94+M94+N94+O94+P94+Q94+R94+S94+T94</f>
        <v>100000</v>
      </c>
      <c r="V94" s="21">
        <f t="shared" si="20"/>
        <v>100000</v>
      </c>
    </row>
    <row r="95" spans="1:22" ht="12.75">
      <c r="A95" s="5"/>
      <c r="B95" s="47"/>
      <c r="C95" s="119"/>
      <c r="D95" s="127"/>
      <c r="E95" s="120"/>
      <c r="F95" s="113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4"/>
      <c r="V95" s="21">
        <f t="shared" si="20"/>
        <v>0</v>
      </c>
    </row>
    <row r="96" spans="1:22" ht="105" customHeight="1">
      <c r="A96" s="26" t="s">
        <v>42</v>
      </c>
      <c r="B96" s="35" t="s">
        <v>122</v>
      </c>
      <c r="C96" s="148" t="s">
        <v>8</v>
      </c>
      <c r="D96" s="161">
        <v>5600000000</v>
      </c>
      <c r="E96" s="124"/>
      <c r="F96" s="126"/>
      <c r="G96" s="41"/>
      <c r="H96" s="107">
        <f aca="true" t="shared" si="25" ref="H96:T96">H98+H104</f>
        <v>1138520.94</v>
      </c>
      <c r="I96" s="39">
        <f t="shared" si="25"/>
        <v>41400</v>
      </c>
      <c r="J96" s="39">
        <f t="shared" si="25"/>
        <v>45120.94</v>
      </c>
      <c r="K96" s="39">
        <f t="shared" si="25"/>
        <v>52700</v>
      </c>
      <c r="L96" s="39">
        <f t="shared" si="25"/>
        <v>84800</v>
      </c>
      <c r="M96" s="39">
        <f t="shared" si="25"/>
        <v>65500</v>
      </c>
      <c r="N96" s="39">
        <f t="shared" si="25"/>
        <v>27300</v>
      </c>
      <c r="O96" s="39">
        <f t="shared" si="25"/>
        <v>27300</v>
      </c>
      <c r="P96" s="39">
        <f t="shared" si="25"/>
        <v>165800</v>
      </c>
      <c r="Q96" s="39">
        <f t="shared" si="25"/>
        <v>30100</v>
      </c>
      <c r="R96" s="39">
        <f t="shared" si="25"/>
        <v>163300</v>
      </c>
      <c r="S96" s="39">
        <f t="shared" si="25"/>
        <v>242100</v>
      </c>
      <c r="T96" s="39">
        <f t="shared" si="25"/>
        <v>193100</v>
      </c>
      <c r="U96" s="24">
        <f>I96+J96+K96+L96+M96+N96+O96+P96+Q96+R96+S96+T96</f>
        <v>1138520.94</v>
      </c>
      <c r="V96" s="21">
        <f t="shared" si="20"/>
        <v>1138520.94</v>
      </c>
    </row>
    <row r="97" spans="1:22" ht="15" customHeight="1">
      <c r="A97" s="5"/>
      <c r="B97" s="47"/>
      <c r="C97" s="119"/>
      <c r="D97" s="127"/>
      <c r="E97" s="120"/>
      <c r="F97" s="113"/>
      <c r="G97" s="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24"/>
      <c r="V97" s="21">
        <f t="shared" si="20"/>
        <v>0</v>
      </c>
    </row>
    <row r="98" spans="1:22" ht="115.5" customHeight="1">
      <c r="A98" s="26" t="s">
        <v>42</v>
      </c>
      <c r="B98" s="35" t="s">
        <v>103</v>
      </c>
      <c r="C98" s="159" t="s">
        <v>8</v>
      </c>
      <c r="D98" s="160">
        <v>5610000000</v>
      </c>
      <c r="E98" s="124"/>
      <c r="F98" s="126"/>
      <c r="G98" s="51"/>
      <c r="H98" s="100">
        <f>H99+H100+H102+H101</f>
        <v>1038520.94</v>
      </c>
      <c r="I98" s="52">
        <f aca="true" t="shared" si="26" ref="I98:T98">I99+I100+I102+I101</f>
        <v>41400</v>
      </c>
      <c r="J98" s="52">
        <f t="shared" si="26"/>
        <v>45120.94</v>
      </c>
      <c r="K98" s="52">
        <f t="shared" si="26"/>
        <v>44200</v>
      </c>
      <c r="L98" s="52">
        <f t="shared" si="26"/>
        <v>76300</v>
      </c>
      <c r="M98" s="52">
        <f t="shared" si="26"/>
        <v>57000</v>
      </c>
      <c r="N98" s="52">
        <f t="shared" si="26"/>
        <v>27300</v>
      </c>
      <c r="O98" s="52">
        <f t="shared" si="26"/>
        <v>27300</v>
      </c>
      <c r="P98" s="52">
        <f t="shared" si="26"/>
        <v>165800</v>
      </c>
      <c r="Q98" s="52">
        <f t="shared" si="26"/>
        <v>30100</v>
      </c>
      <c r="R98" s="52">
        <f t="shared" si="26"/>
        <v>146300</v>
      </c>
      <c r="S98" s="52">
        <f t="shared" si="26"/>
        <v>216600</v>
      </c>
      <c r="T98" s="52">
        <f t="shared" si="26"/>
        <v>161100</v>
      </c>
      <c r="U98" s="24">
        <f aca="true" t="shared" si="27" ref="U98:U111">I98+J98+K98+L98+M98+N98+O98+P98+Q98+R98+S98+T98</f>
        <v>1038520.94</v>
      </c>
      <c r="V98" s="21">
        <f t="shared" si="20"/>
        <v>1038520.94</v>
      </c>
    </row>
    <row r="99" spans="1:22" ht="15" customHeight="1">
      <c r="A99" s="5" t="s">
        <v>42</v>
      </c>
      <c r="B99" s="47" t="s">
        <v>15</v>
      </c>
      <c r="C99" s="164" t="s">
        <v>8</v>
      </c>
      <c r="D99" s="162">
        <v>5610110060</v>
      </c>
      <c r="E99" s="162">
        <v>244</v>
      </c>
      <c r="F99" s="158">
        <v>226</v>
      </c>
      <c r="G99" s="45"/>
      <c r="H99" s="15">
        <v>571100</v>
      </c>
      <c r="I99" s="12">
        <v>27400</v>
      </c>
      <c r="J99" s="12">
        <v>6000</v>
      </c>
      <c r="K99" s="12">
        <v>7400</v>
      </c>
      <c r="L99" s="12">
        <v>40000</v>
      </c>
      <c r="M99" s="12">
        <v>20200</v>
      </c>
      <c r="N99" s="12">
        <v>0</v>
      </c>
      <c r="O99" s="12">
        <v>0</v>
      </c>
      <c r="P99" s="12">
        <v>138500</v>
      </c>
      <c r="Q99" s="12">
        <v>2800</v>
      </c>
      <c r="R99" s="12">
        <v>103000</v>
      </c>
      <c r="S99" s="12">
        <v>149800</v>
      </c>
      <c r="T99" s="12">
        <v>76000</v>
      </c>
      <c r="U99" s="24">
        <f t="shared" si="27"/>
        <v>571100</v>
      </c>
      <c r="V99" s="21">
        <f t="shared" si="20"/>
        <v>571100</v>
      </c>
    </row>
    <row r="100" spans="1:22" ht="15" customHeight="1">
      <c r="A100" s="25" t="s">
        <v>42</v>
      </c>
      <c r="B100" s="3" t="s">
        <v>12</v>
      </c>
      <c r="C100" s="164" t="s">
        <v>8</v>
      </c>
      <c r="D100" s="162">
        <v>5610110060</v>
      </c>
      <c r="E100" s="162">
        <v>242</v>
      </c>
      <c r="F100" s="158">
        <v>221</v>
      </c>
      <c r="G100" s="46" t="s">
        <v>96</v>
      </c>
      <c r="H100" s="15">
        <f>168000+19820.94</f>
        <v>187820.94</v>
      </c>
      <c r="I100" s="12">
        <v>4000</v>
      </c>
      <c r="J100" s="12">
        <f>7000+19820.94</f>
        <v>26820.94</v>
      </c>
      <c r="K100" s="12">
        <v>14000</v>
      </c>
      <c r="L100" s="12">
        <v>14000</v>
      </c>
      <c r="M100" s="12">
        <v>14000</v>
      </c>
      <c r="N100" s="12">
        <v>14000</v>
      </c>
      <c r="O100" s="12">
        <v>14000</v>
      </c>
      <c r="P100" s="12">
        <v>14000</v>
      </c>
      <c r="Q100" s="12">
        <v>14000</v>
      </c>
      <c r="R100" s="12">
        <v>14000</v>
      </c>
      <c r="S100" s="12">
        <v>21000</v>
      </c>
      <c r="T100" s="12">
        <v>24000</v>
      </c>
      <c r="U100" s="24">
        <f t="shared" si="27"/>
        <v>187820.94</v>
      </c>
      <c r="V100" s="21">
        <f t="shared" si="20"/>
        <v>187820.94</v>
      </c>
    </row>
    <row r="101" spans="1:22" ht="28.5" customHeight="1">
      <c r="A101" s="25" t="s">
        <v>42</v>
      </c>
      <c r="B101" s="3" t="s">
        <v>12</v>
      </c>
      <c r="C101" s="164" t="s">
        <v>8</v>
      </c>
      <c r="D101" s="162">
        <v>5610110060</v>
      </c>
      <c r="E101" s="162">
        <v>242</v>
      </c>
      <c r="F101" s="158">
        <v>221</v>
      </c>
      <c r="G101" s="103" t="s">
        <v>104</v>
      </c>
      <c r="H101" s="15">
        <v>159600</v>
      </c>
      <c r="I101" s="12">
        <v>10000</v>
      </c>
      <c r="J101" s="12">
        <v>7300</v>
      </c>
      <c r="K101" s="12">
        <v>13300</v>
      </c>
      <c r="L101" s="12">
        <v>13300</v>
      </c>
      <c r="M101" s="12">
        <v>13300</v>
      </c>
      <c r="N101" s="12">
        <v>13300</v>
      </c>
      <c r="O101" s="12">
        <v>13300</v>
      </c>
      <c r="P101" s="12">
        <v>13300</v>
      </c>
      <c r="Q101" s="12">
        <v>13300</v>
      </c>
      <c r="R101" s="12">
        <v>16300</v>
      </c>
      <c r="S101" s="12">
        <v>13300</v>
      </c>
      <c r="T101" s="12">
        <v>19600</v>
      </c>
      <c r="U101" s="24">
        <f t="shared" si="27"/>
        <v>159600</v>
      </c>
      <c r="V101" s="21">
        <f t="shared" si="20"/>
        <v>159600</v>
      </c>
    </row>
    <row r="102" spans="1:22" ht="17.25" customHeight="1">
      <c r="A102" s="5" t="s">
        <v>42</v>
      </c>
      <c r="B102" s="3" t="s">
        <v>18</v>
      </c>
      <c r="C102" s="164" t="s">
        <v>8</v>
      </c>
      <c r="D102" s="162">
        <v>5610110060</v>
      </c>
      <c r="E102" s="162">
        <v>244</v>
      </c>
      <c r="F102" s="158">
        <v>310</v>
      </c>
      <c r="G102" s="46"/>
      <c r="H102" s="17">
        <v>120000</v>
      </c>
      <c r="I102" s="12">
        <v>0</v>
      </c>
      <c r="J102" s="12">
        <v>5000</v>
      </c>
      <c r="K102" s="12">
        <v>9500</v>
      </c>
      <c r="L102" s="12">
        <v>9000</v>
      </c>
      <c r="M102" s="12">
        <v>9500</v>
      </c>
      <c r="N102" s="12">
        <v>0</v>
      </c>
      <c r="O102" s="12">
        <v>0</v>
      </c>
      <c r="P102" s="12">
        <v>0</v>
      </c>
      <c r="Q102" s="12">
        <v>0</v>
      </c>
      <c r="R102" s="12">
        <v>13000</v>
      </c>
      <c r="S102" s="12">
        <v>32500</v>
      </c>
      <c r="T102" s="12">
        <v>41500</v>
      </c>
      <c r="U102" s="24">
        <f t="shared" si="27"/>
        <v>120000</v>
      </c>
      <c r="V102" s="21">
        <f t="shared" si="20"/>
        <v>120000</v>
      </c>
    </row>
    <row r="103" spans="1:22" ht="15" customHeight="1">
      <c r="A103" s="42"/>
      <c r="B103" s="43"/>
      <c r="C103" s="122"/>
      <c r="D103" s="123"/>
      <c r="E103" s="127"/>
      <c r="F103" s="125"/>
      <c r="G103" s="46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24">
        <f t="shared" si="27"/>
        <v>0</v>
      </c>
      <c r="V103" s="21">
        <f t="shared" si="20"/>
        <v>0</v>
      </c>
    </row>
    <row r="104" spans="1:22" ht="86.25" customHeight="1">
      <c r="A104" s="26" t="s">
        <v>42</v>
      </c>
      <c r="B104" s="35" t="s">
        <v>123</v>
      </c>
      <c r="C104" s="159" t="s">
        <v>8</v>
      </c>
      <c r="D104" s="160">
        <v>5620000000</v>
      </c>
      <c r="E104" s="160"/>
      <c r="F104" s="163"/>
      <c r="G104" s="36"/>
      <c r="H104" s="100">
        <f aca="true" t="shared" si="28" ref="H104:T104">H105</f>
        <v>100000</v>
      </c>
      <c r="I104" s="52">
        <f t="shared" si="28"/>
        <v>0</v>
      </c>
      <c r="J104" s="52">
        <f t="shared" si="28"/>
        <v>0</v>
      </c>
      <c r="K104" s="52">
        <f t="shared" si="28"/>
        <v>8500</v>
      </c>
      <c r="L104" s="52">
        <f t="shared" si="28"/>
        <v>8500</v>
      </c>
      <c r="M104" s="52">
        <f t="shared" si="28"/>
        <v>8500</v>
      </c>
      <c r="N104" s="52">
        <f t="shared" si="28"/>
        <v>0</v>
      </c>
      <c r="O104" s="52">
        <f t="shared" si="28"/>
        <v>0</v>
      </c>
      <c r="P104" s="52">
        <f t="shared" si="28"/>
        <v>0</v>
      </c>
      <c r="Q104" s="52">
        <f t="shared" si="28"/>
        <v>0</v>
      </c>
      <c r="R104" s="52">
        <f t="shared" si="28"/>
        <v>17000</v>
      </c>
      <c r="S104" s="52">
        <f t="shared" si="28"/>
        <v>25500</v>
      </c>
      <c r="T104" s="52">
        <f t="shared" si="28"/>
        <v>32000</v>
      </c>
      <c r="U104" s="24">
        <f t="shared" si="27"/>
        <v>100000</v>
      </c>
      <c r="V104" s="21">
        <f t="shared" si="20"/>
        <v>100000</v>
      </c>
    </row>
    <row r="105" spans="1:22" ht="25.5" customHeight="1">
      <c r="A105" s="104" t="s">
        <v>42</v>
      </c>
      <c r="B105" s="105" t="s">
        <v>15</v>
      </c>
      <c r="C105" s="165" t="s">
        <v>8</v>
      </c>
      <c r="D105" s="165">
        <v>5620110070</v>
      </c>
      <c r="E105" s="165">
        <v>244</v>
      </c>
      <c r="F105" s="165">
        <v>226</v>
      </c>
      <c r="G105" s="165"/>
      <c r="H105" s="15">
        <v>100000</v>
      </c>
      <c r="I105" s="12">
        <v>0</v>
      </c>
      <c r="J105" s="12">
        <v>0</v>
      </c>
      <c r="K105" s="12">
        <v>8500</v>
      </c>
      <c r="L105" s="12">
        <v>8500</v>
      </c>
      <c r="M105" s="12">
        <v>8500</v>
      </c>
      <c r="N105" s="12">
        <v>0</v>
      </c>
      <c r="O105" s="12">
        <v>0</v>
      </c>
      <c r="P105" s="12">
        <v>0</v>
      </c>
      <c r="Q105" s="12">
        <v>0</v>
      </c>
      <c r="R105" s="12">
        <v>17000</v>
      </c>
      <c r="S105" s="12">
        <v>25500</v>
      </c>
      <c r="T105" s="12">
        <v>32000</v>
      </c>
      <c r="U105" s="24">
        <f t="shared" si="27"/>
        <v>100000</v>
      </c>
      <c r="V105" s="21">
        <f t="shared" si="20"/>
        <v>100000</v>
      </c>
    </row>
    <row r="106" spans="1:22" ht="15" customHeight="1">
      <c r="A106" s="42"/>
      <c r="B106" s="43"/>
      <c r="C106" s="122"/>
      <c r="D106" s="123"/>
      <c r="E106" s="127"/>
      <c r="F106" s="125"/>
      <c r="G106" s="46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4">
        <f t="shared" si="27"/>
        <v>0</v>
      </c>
      <c r="V106" s="21">
        <f t="shared" si="20"/>
        <v>0</v>
      </c>
    </row>
    <row r="107" spans="1:22" ht="98.25" customHeight="1">
      <c r="A107" s="26" t="s">
        <v>42</v>
      </c>
      <c r="B107" s="35" t="s">
        <v>124</v>
      </c>
      <c r="C107" s="148" t="s">
        <v>8</v>
      </c>
      <c r="D107" s="161">
        <v>5700000000</v>
      </c>
      <c r="E107" s="166"/>
      <c r="F107" s="167"/>
      <c r="G107" s="41"/>
      <c r="H107" s="107">
        <f aca="true" t="shared" si="29" ref="H107:T107">H108</f>
        <v>60000</v>
      </c>
      <c r="I107" s="39">
        <f t="shared" si="29"/>
        <v>0</v>
      </c>
      <c r="J107" s="39">
        <f t="shared" si="29"/>
        <v>0</v>
      </c>
      <c r="K107" s="39">
        <f t="shared" si="29"/>
        <v>0</v>
      </c>
      <c r="L107" s="39">
        <f t="shared" si="29"/>
        <v>0</v>
      </c>
      <c r="M107" s="39">
        <f t="shared" si="29"/>
        <v>16000</v>
      </c>
      <c r="N107" s="39">
        <f t="shared" si="29"/>
        <v>0</v>
      </c>
      <c r="O107" s="39">
        <f t="shared" si="29"/>
        <v>0</v>
      </c>
      <c r="P107" s="39">
        <f t="shared" si="29"/>
        <v>0</v>
      </c>
      <c r="Q107" s="39">
        <f t="shared" si="29"/>
        <v>0</v>
      </c>
      <c r="R107" s="39">
        <f t="shared" si="29"/>
        <v>0</v>
      </c>
      <c r="S107" s="39">
        <f t="shared" si="29"/>
        <v>10000</v>
      </c>
      <c r="T107" s="39">
        <f t="shared" si="29"/>
        <v>34000</v>
      </c>
      <c r="U107" s="24">
        <f t="shared" si="27"/>
        <v>60000</v>
      </c>
      <c r="V107" s="21">
        <f t="shared" si="20"/>
        <v>60000</v>
      </c>
    </row>
    <row r="108" spans="1:22" ht="21" customHeight="1">
      <c r="A108" s="104" t="s">
        <v>42</v>
      </c>
      <c r="B108" s="105" t="s">
        <v>16</v>
      </c>
      <c r="C108" s="168" t="s">
        <v>8</v>
      </c>
      <c r="D108" s="168">
        <v>5710110930</v>
      </c>
      <c r="E108" s="168">
        <v>244</v>
      </c>
      <c r="F108" s="168">
        <v>290</v>
      </c>
      <c r="G108" s="106"/>
      <c r="H108" s="15">
        <v>60000</v>
      </c>
      <c r="I108" s="12">
        <v>0</v>
      </c>
      <c r="J108" s="12">
        <v>0</v>
      </c>
      <c r="K108" s="12">
        <v>0</v>
      </c>
      <c r="L108" s="12">
        <v>0</v>
      </c>
      <c r="M108" s="12">
        <v>16000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10000</v>
      </c>
      <c r="T108" s="12">
        <v>34000</v>
      </c>
      <c r="U108" s="24">
        <f t="shared" si="27"/>
        <v>60000</v>
      </c>
      <c r="V108" s="21">
        <f t="shared" si="20"/>
        <v>60000</v>
      </c>
    </row>
    <row r="109" spans="1:22" ht="15" customHeight="1">
      <c r="A109" s="42"/>
      <c r="B109" s="43"/>
      <c r="C109" s="122"/>
      <c r="D109" s="123"/>
      <c r="E109" s="127"/>
      <c r="F109" s="125"/>
      <c r="G109" s="46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24">
        <f t="shared" si="27"/>
        <v>0</v>
      </c>
      <c r="V109" s="21">
        <f t="shared" si="20"/>
        <v>0</v>
      </c>
    </row>
    <row r="110" spans="1:22" ht="96" customHeight="1">
      <c r="A110" s="26" t="s">
        <v>42</v>
      </c>
      <c r="B110" s="35" t="s">
        <v>125</v>
      </c>
      <c r="C110" s="148" t="s">
        <v>8</v>
      </c>
      <c r="D110" s="161">
        <v>8400000000</v>
      </c>
      <c r="E110" s="166"/>
      <c r="F110" s="167"/>
      <c r="G110" s="169"/>
      <c r="H110" s="107">
        <f aca="true" t="shared" si="30" ref="H110:T110">H111</f>
        <v>10000</v>
      </c>
      <c r="I110" s="39">
        <f t="shared" si="30"/>
        <v>0</v>
      </c>
      <c r="J110" s="39">
        <f t="shared" si="30"/>
        <v>0</v>
      </c>
      <c r="K110" s="39">
        <f t="shared" si="30"/>
        <v>0</v>
      </c>
      <c r="L110" s="39">
        <f t="shared" si="30"/>
        <v>0</v>
      </c>
      <c r="M110" s="39">
        <f t="shared" si="30"/>
        <v>0</v>
      </c>
      <c r="N110" s="39">
        <f t="shared" si="30"/>
        <v>0</v>
      </c>
      <c r="O110" s="39">
        <f t="shared" si="30"/>
        <v>0</v>
      </c>
      <c r="P110" s="39">
        <f t="shared" si="30"/>
        <v>0</v>
      </c>
      <c r="Q110" s="39">
        <f t="shared" si="30"/>
        <v>0</v>
      </c>
      <c r="R110" s="39">
        <f t="shared" si="30"/>
        <v>5000</v>
      </c>
      <c r="S110" s="39">
        <f t="shared" si="30"/>
        <v>5000</v>
      </c>
      <c r="T110" s="39">
        <f t="shared" si="30"/>
        <v>0</v>
      </c>
      <c r="U110" s="24">
        <f t="shared" si="27"/>
        <v>10000</v>
      </c>
      <c r="V110" s="21">
        <f t="shared" si="20"/>
        <v>10000</v>
      </c>
    </row>
    <row r="111" spans="1:22" ht="15" customHeight="1">
      <c r="A111" s="5" t="s">
        <v>42</v>
      </c>
      <c r="B111" s="47" t="s">
        <v>16</v>
      </c>
      <c r="C111" s="170" t="s">
        <v>8</v>
      </c>
      <c r="D111" s="171">
        <v>8410110290</v>
      </c>
      <c r="E111" s="171">
        <v>244</v>
      </c>
      <c r="F111" s="172">
        <v>290</v>
      </c>
      <c r="G111" s="173"/>
      <c r="H111" s="15">
        <v>10000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5000</v>
      </c>
      <c r="S111" s="12">
        <v>5000</v>
      </c>
      <c r="T111" s="12">
        <v>0</v>
      </c>
      <c r="U111" s="24">
        <f t="shared" si="27"/>
        <v>10000</v>
      </c>
      <c r="V111" s="21">
        <f t="shared" si="20"/>
        <v>10000</v>
      </c>
    </row>
    <row r="112" spans="1:22" ht="12.75">
      <c r="A112" s="5"/>
      <c r="B112" s="47"/>
      <c r="C112" s="128"/>
      <c r="D112" s="127"/>
      <c r="E112" s="127"/>
      <c r="F112" s="130"/>
      <c r="G112" s="46"/>
      <c r="H112" s="1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24"/>
      <c r="V112" s="21">
        <f t="shared" si="20"/>
        <v>0</v>
      </c>
    </row>
    <row r="113" spans="1:22" ht="12.75">
      <c r="A113" s="5"/>
      <c r="B113" s="29" t="s">
        <v>53</v>
      </c>
      <c r="C113" s="149" t="s">
        <v>8</v>
      </c>
      <c r="D113" s="127"/>
      <c r="E113" s="127"/>
      <c r="F113" s="130"/>
      <c r="G113" s="46"/>
      <c r="H113" s="20">
        <f>H110+H107+H96+H68+H40+H37</f>
        <v>12508829.17</v>
      </c>
      <c r="I113" s="19">
        <f aca="true" t="shared" si="31" ref="I113:T113">I110+I107+I96+I68+I40</f>
        <v>617141.02</v>
      </c>
      <c r="J113" s="19">
        <f t="shared" si="31"/>
        <v>675920.94</v>
      </c>
      <c r="K113" s="19">
        <f>K110+K107+K96+K68+K40+K37</f>
        <v>838558.73</v>
      </c>
      <c r="L113" s="19">
        <f t="shared" si="31"/>
        <v>1014650</v>
      </c>
      <c r="M113" s="19">
        <f t="shared" si="31"/>
        <v>834000</v>
      </c>
      <c r="N113" s="19">
        <f t="shared" si="31"/>
        <v>749800</v>
      </c>
      <c r="O113" s="19">
        <f t="shared" si="31"/>
        <v>859150</v>
      </c>
      <c r="P113" s="19">
        <f t="shared" si="31"/>
        <v>1144800</v>
      </c>
      <c r="Q113" s="19">
        <f t="shared" si="31"/>
        <v>902200</v>
      </c>
      <c r="R113" s="19">
        <f t="shared" si="31"/>
        <v>1471735</v>
      </c>
      <c r="S113" s="19">
        <f t="shared" si="31"/>
        <v>1669046.48</v>
      </c>
      <c r="T113" s="19">
        <f t="shared" si="31"/>
        <v>1686377</v>
      </c>
      <c r="U113" s="24">
        <f>I113+J113+K113+L113+M113+N113+O113+P113+Q113+R113+S113+T113</f>
        <v>12463379.17</v>
      </c>
      <c r="V113" s="21">
        <f>V39+V40+V68+V96+V107+V110</f>
        <v>12508829.17</v>
      </c>
    </row>
    <row r="114" spans="1:22" ht="55.5" customHeight="1">
      <c r="A114" s="53"/>
      <c r="B114" s="54" t="s">
        <v>64</v>
      </c>
      <c r="C114" s="131"/>
      <c r="D114" s="131"/>
      <c r="E114" s="131"/>
      <c r="F114" s="131"/>
      <c r="G114" s="55"/>
      <c r="H114" s="56">
        <f>H113+H36+H30+H27+H9+H33</f>
        <v>21844802.17</v>
      </c>
      <c r="I114" s="56">
        <f aca="true" t="shared" si="32" ref="I114:S114">I113+I36+I30+I27+I9+I33</f>
        <v>971966.02</v>
      </c>
      <c r="J114" s="56">
        <f t="shared" si="32"/>
        <v>1171776.94</v>
      </c>
      <c r="K114" s="56">
        <f t="shared" si="32"/>
        <v>1247512.73</v>
      </c>
      <c r="L114" s="56">
        <f t="shared" si="32"/>
        <v>1549575</v>
      </c>
      <c r="M114" s="56">
        <f t="shared" si="32"/>
        <v>1418925</v>
      </c>
      <c r="N114" s="56">
        <f>N113+N36+N30+N27+N9+N33+N37</f>
        <v>1283175</v>
      </c>
      <c r="O114" s="56">
        <f t="shared" si="32"/>
        <v>1402975</v>
      </c>
      <c r="P114" s="56">
        <f t="shared" si="32"/>
        <v>1930625</v>
      </c>
      <c r="Q114" s="56">
        <f>Q113+Q36+Q30+Q27+Q9+Q33+Q39</f>
        <v>1434675</v>
      </c>
      <c r="R114" s="56">
        <f t="shared" si="32"/>
        <v>2403160</v>
      </c>
      <c r="S114" s="56">
        <f t="shared" si="32"/>
        <v>2616994.48</v>
      </c>
      <c r="T114" s="56">
        <f>T113+T36+T30+T27+T9+T33+T37</f>
        <v>4407442</v>
      </c>
      <c r="U114" s="24">
        <f>I114+J114+K114+L114+M114+N114+O114+P114+Q114+R114+S114+T114</f>
        <v>21838802.169999998</v>
      </c>
      <c r="V114" s="199">
        <f>V113+V9+V27+V29+V33+V36</f>
        <v>21844802.17</v>
      </c>
    </row>
    <row r="115" spans="1:22" ht="12.75">
      <c r="A115" s="42"/>
      <c r="B115" s="57"/>
      <c r="C115" s="132"/>
      <c r="D115" s="132"/>
      <c r="E115" s="132"/>
      <c r="F115" s="132"/>
      <c r="G115" s="57"/>
      <c r="V115" s="21">
        <f t="shared" si="20"/>
        <v>0</v>
      </c>
    </row>
    <row r="116" spans="1:22" ht="51.75" customHeight="1">
      <c r="A116" s="5" t="s">
        <v>42</v>
      </c>
      <c r="B116" s="59" t="s">
        <v>65</v>
      </c>
      <c r="C116" s="176" t="s">
        <v>20</v>
      </c>
      <c r="D116" s="60">
        <v>9800000000</v>
      </c>
      <c r="E116" s="123"/>
      <c r="F116" s="123"/>
      <c r="G116" s="60"/>
      <c r="H116" s="38">
        <f aca="true" t="shared" si="33" ref="H116:T116">H117+H118</f>
        <v>443500</v>
      </c>
      <c r="I116" s="38">
        <f t="shared" si="33"/>
        <v>36875</v>
      </c>
      <c r="J116" s="38">
        <f t="shared" si="33"/>
        <v>36875</v>
      </c>
      <c r="K116" s="38">
        <f t="shared" si="33"/>
        <v>36875</v>
      </c>
      <c r="L116" s="38">
        <f t="shared" si="33"/>
        <v>36875</v>
      </c>
      <c r="M116" s="38">
        <f t="shared" si="33"/>
        <v>36875</v>
      </c>
      <c r="N116" s="38">
        <f t="shared" si="33"/>
        <v>36875</v>
      </c>
      <c r="O116" s="38">
        <f t="shared" si="33"/>
        <v>36875</v>
      </c>
      <c r="P116" s="38">
        <f t="shared" si="33"/>
        <v>36875</v>
      </c>
      <c r="Q116" s="38">
        <f t="shared" si="33"/>
        <v>36875</v>
      </c>
      <c r="R116" s="38">
        <f t="shared" si="33"/>
        <v>36875</v>
      </c>
      <c r="S116" s="38">
        <f t="shared" si="33"/>
        <v>36875</v>
      </c>
      <c r="T116" s="38">
        <f t="shared" si="33"/>
        <v>36875</v>
      </c>
      <c r="U116" s="24">
        <f aca="true" t="shared" si="34" ref="U116:U122">I116+J116+K116+L116+M116+N116+O116+P116+Q116+R116+S116+T116</f>
        <v>442500</v>
      </c>
      <c r="V116" s="21">
        <f t="shared" si="20"/>
        <v>442500</v>
      </c>
    </row>
    <row r="117" spans="1:22" ht="38.25">
      <c r="A117" s="5" t="s">
        <v>42</v>
      </c>
      <c r="B117" s="61" t="s">
        <v>66</v>
      </c>
      <c r="C117" s="174" t="s">
        <v>20</v>
      </c>
      <c r="D117" s="174">
        <v>9800051180</v>
      </c>
      <c r="E117" s="175">
        <v>121</v>
      </c>
      <c r="F117" s="174">
        <v>211</v>
      </c>
      <c r="G117" s="63" t="s">
        <v>67</v>
      </c>
      <c r="H117" s="13">
        <f>311400+29230</f>
        <v>340630</v>
      </c>
      <c r="I117" s="18">
        <f>25900+2435.83</f>
        <v>28335.83</v>
      </c>
      <c r="J117" s="18">
        <f>25900+2435.83</f>
        <v>28335.83</v>
      </c>
      <c r="K117" s="18">
        <f aca="true" t="shared" si="35" ref="K117:T117">25900+2435.83</f>
        <v>28335.83</v>
      </c>
      <c r="L117" s="18">
        <f t="shared" si="35"/>
        <v>28335.83</v>
      </c>
      <c r="M117" s="18">
        <f t="shared" si="35"/>
        <v>28335.83</v>
      </c>
      <c r="N117" s="18">
        <f t="shared" si="35"/>
        <v>28335.83</v>
      </c>
      <c r="O117" s="18">
        <f t="shared" si="35"/>
        <v>28335.83</v>
      </c>
      <c r="P117" s="18">
        <f t="shared" si="35"/>
        <v>28335.83</v>
      </c>
      <c r="Q117" s="18">
        <f t="shared" si="35"/>
        <v>28335.83</v>
      </c>
      <c r="R117" s="18">
        <f t="shared" si="35"/>
        <v>28335.83</v>
      </c>
      <c r="S117" s="18">
        <f t="shared" si="35"/>
        <v>28335.83</v>
      </c>
      <c r="T117" s="18">
        <f t="shared" si="35"/>
        <v>28335.83</v>
      </c>
      <c r="U117" s="24">
        <f t="shared" si="34"/>
        <v>340029.96000000014</v>
      </c>
      <c r="V117" s="21">
        <f t="shared" si="20"/>
        <v>340029.96000000014</v>
      </c>
    </row>
    <row r="118" spans="1:22" ht="38.25">
      <c r="A118" s="5" t="s">
        <v>42</v>
      </c>
      <c r="B118" s="61" t="s">
        <v>66</v>
      </c>
      <c r="C118" s="174" t="s">
        <v>20</v>
      </c>
      <c r="D118" s="174">
        <v>9800051180</v>
      </c>
      <c r="E118" s="175">
        <v>129</v>
      </c>
      <c r="F118" s="174">
        <v>211</v>
      </c>
      <c r="G118" s="64" t="s">
        <v>68</v>
      </c>
      <c r="H118" s="13">
        <f>94000+8870</f>
        <v>102870</v>
      </c>
      <c r="I118" s="18">
        <f aca="true" t="shared" si="36" ref="I118:T118">7800+739.17</f>
        <v>8539.17</v>
      </c>
      <c r="J118" s="18">
        <f t="shared" si="36"/>
        <v>8539.17</v>
      </c>
      <c r="K118" s="18">
        <f t="shared" si="36"/>
        <v>8539.17</v>
      </c>
      <c r="L118" s="18">
        <f t="shared" si="36"/>
        <v>8539.17</v>
      </c>
      <c r="M118" s="18">
        <f t="shared" si="36"/>
        <v>8539.17</v>
      </c>
      <c r="N118" s="18">
        <f t="shared" si="36"/>
        <v>8539.17</v>
      </c>
      <c r="O118" s="18">
        <f t="shared" si="36"/>
        <v>8539.17</v>
      </c>
      <c r="P118" s="18">
        <f t="shared" si="36"/>
        <v>8539.17</v>
      </c>
      <c r="Q118" s="18">
        <f t="shared" si="36"/>
        <v>8539.17</v>
      </c>
      <c r="R118" s="18">
        <f t="shared" si="36"/>
        <v>8539.17</v>
      </c>
      <c r="S118" s="18">
        <f t="shared" si="36"/>
        <v>8539.17</v>
      </c>
      <c r="T118" s="18">
        <f t="shared" si="36"/>
        <v>8539.17</v>
      </c>
      <c r="U118" s="24">
        <f t="shared" si="34"/>
        <v>102470.04</v>
      </c>
      <c r="V118" s="21">
        <f t="shared" si="20"/>
        <v>102470.04</v>
      </c>
    </row>
    <row r="119" spans="1:22" ht="12.75">
      <c r="A119" s="42"/>
      <c r="B119" s="58"/>
      <c r="C119" s="133"/>
      <c r="D119" s="133"/>
      <c r="E119" s="133"/>
      <c r="F119" s="133"/>
      <c r="G119" s="62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24">
        <f t="shared" si="34"/>
        <v>0</v>
      </c>
      <c r="V119" s="21">
        <f t="shared" si="20"/>
        <v>0</v>
      </c>
    </row>
    <row r="120" spans="1:22" ht="12.75">
      <c r="A120" s="42"/>
      <c r="B120" s="29" t="s">
        <v>53</v>
      </c>
      <c r="C120" s="149" t="s">
        <v>20</v>
      </c>
      <c r="D120" s="133"/>
      <c r="E120" s="133"/>
      <c r="F120" s="133"/>
      <c r="G120" s="62"/>
      <c r="H120" s="20">
        <f aca="true" t="shared" si="37" ref="H120:S120">H116</f>
        <v>443500</v>
      </c>
      <c r="I120" s="20">
        <f t="shared" si="37"/>
        <v>36875</v>
      </c>
      <c r="J120" s="20">
        <f t="shared" si="37"/>
        <v>36875</v>
      </c>
      <c r="K120" s="20">
        <f t="shared" si="37"/>
        <v>36875</v>
      </c>
      <c r="L120" s="20">
        <f t="shared" si="37"/>
        <v>36875</v>
      </c>
      <c r="M120" s="20">
        <f t="shared" si="37"/>
        <v>36875</v>
      </c>
      <c r="N120" s="20">
        <f t="shared" si="37"/>
        <v>36875</v>
      </c>
      <c r="O120" s="20">
        <f t="shared" si="37"/>
        <v>36875</v>
      </c>
      <c r="P120" s="20">
        <f t="shared" si="37"/>
        <v>36875</v>
      </c>
      <c r="Q120" s="20">
        <f t="shared" si="37"/>
        <v>36875</v>
      </c>
      <c r="R120" s="20">
        <f t="shared" si="37"/>
        <v>36875</v>
      </c>
      <c r="S120" s="20">
        <f t="shared" si="37"/>
        <v>36875</v>
      </c>
      <c r="T120" s="20">
        <f>T122</f>
        <v>37875</v>
      </c>
      <c r="U120" s="24">
        <f t="shared" si="34"/>
        <v>443500</v>
      </c>
      <c r="V120" s="199">
        <f t="shared" si="20"/>
        <v>443500</v>
      </c>
    </row>
    <row r="121" spans="1:22" ht="12.75">
      <c r="A121" s="42"/>
      <c r="B121" s="58"/>
      <c r="C121" s="133"/>
      <c r="D121" s="133"/>
      <c r="E121" s="133"/>
      <c r="F121" s="133"/>
      <c r="G121" s="62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24">
        <f t="shared" si="34"/>
        <v>0</v>
      </c>
      <c r="V121" s="21">
        <f t="shared" si="20"/>
        <v>0</v>
      </c>
    </row>
    <row r="122" spans="1:22" ht="12.75">
      <c r="A122" s="53"/>
      <c r="B122" s="54" t="s">
        <v>69</v>
      </c>
      <c r="C122" s="135"/>
      <c r="D122" s="135"/>
      <c r="E122" s="135"/>
      <c r="F122" s="135"/>
      <c r="G122" s="65"/>
      <c r="H122" s="70">
        <f aca="true" t="shared" si="38" ref="H122:S122">H120</f>
        <v>443500</v>
      </c>
      <c r="I122" s="70">
        <f t="shared" si="38"/>
        <v>36875</v>
      </c>
      <c r="J122" s="70">
        <f t="shared" si="38"/>
        <v>36875</v>
      </c>
      <c r="K122" s="70">
        <f t="shared" si="38"/>
        <v>36875</v>
      </c>
      <c r="L122" s="70">
        <f t="shared" si="38"/>
        <v>36875</v>
      </c>
      <c r="M122" s="70">
        <f t="shared" si="38"/>
        <v>36875</v>
      </c>
      <c r="N122" s="70">
        <f t="shared" si="38"/>
        <v>36875</v>
      </c>
      <c r="O122" s="70">
        <f t="shared" si="38"/>
        <v>36875</v>
      </c>
      <c r="P122" s="70">
        <f t="shared" si="38"/>
        <v>36875</v>
      </c>
      <c r="Q122" s="70">
        <f t="shared" si="38"/>
        <v>36875</v>
      </c>
      <c r="R122" s="70">
        <f t="shared" si="38"/>
        <v>36875</v>
      </c>
      <c r="S122" s="70">
        <f t="shared" si="38"/>
        <v>36875</v>
      </c>
      <c r="T122" s="70">
        <v>37875</v>
      </c>
      <c r="U122" s="24">
        <f t="shared" si="34"/>
        <v>443500</v>
      </c>
      <c r="V122" s="21">
        <f>SUM(I122:T122)</f>
        <v>443500</v>
      </c>
    </row>
    <row r="123" spans="1:22" ht="12.75">
      <c r="A123" s="42"/>
      <c r="B123" s="66"/>
      <c r="C123" s="133"/>
      <c r="D123" s="133"/>
      <c r="E123" s="133"/>
      <c r="F123" s="133"/>
      <c r="G123" s="62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24"/>
      <c r="V123" s="21">
        <f t="shared" si="20"/>
        <v>0</v>
      </c>
    </row>
    <row r="124" spans="1:22" ht="79.5" customHeight="1">
      <c r="A124" s="5" t="s">
        <v>42</v>
      </c>
      <c r="B124" s="35" t="s">
        <v>126</v>
      </c>
      <c r="C124" s="148"/>
      <c r="D124" s="161">
        <v>5900000000</v>
      </c>
      <c r="E124" s="117"/>
      <c r="F124" s="117"/>
      <c r="G124" s="37"/>
      <c r="H124" s="39">
        <f>H126+H131+H134</f>
        <v>329500</v>
      </c>
      <c r="I124" s="39">
        <f aca="true" t="shared" si="39" ref="I124:T124">I126+I131+I134</f>
        <v>0</v>
      </c>
      <c r="J124" s="39">
        <f t="shared" si="39"/>
        <v>0</v>
      </c>
      <c r="K124" s="39">
        <f t="shared" si="39"/>
        <v>0</v>
      </c>
      <c r="L124" s="39">
        <f t="shared" si="39"/>
        <v>54250</v>
      </c>
      <c r="M124" s="39">
        <f t="shared" si="39"/>
        <v>0</v>
      </c>
      <c r="N124" s="39">
        <f t="shared" si="39"/>
        <v>0</v>
      </c>
      <c r="O124" s="39">
        <f t="shared" si="39"/>
        <v>54250</v>
      </c>
      <c r="P124" s="39">
        <f t="shared" si="39"/>
        <v>0</v>
      </c>
      <c r="Q124" s="39">
        <f t="shared" si="39"/>
        <v>0</v>
      </c>
      <c r="R124" s="39">
        <f t="shared" si="39"/>
        <v>95250</v>
      </c>
      <c r="S124" s="39">
        <f t="shared" si="39"/>
        <v>52500</v>
      </c>
      <c r="T124" s="39">
        <f t="shared" si="39"/>
        <v>73250</v>
      </c>
      <c r="U124" s="24">
        <f>I124+J124+K124+L124+M124+N124+O124+P124+Q124+R124+S124+T124</f>
        <v>329500</v>
      </c>
      <c r="V124" s="21">
        <f t="shared" si="20"/>
        <v>329500</v>
      </c>
    </row>
    <row r="125" spans="1:22" ht="12.75">
      <c r="A125" s="42"/>
      <c r="B125" s="66"/>
      <c r="C125" s="129"/>
      <c r="D125" s="133"/>
      <c r="E125" s="133"/>
      <c r="F125" s="133"/>
      <c r="G125" s="62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24"/>
      <c r="V125" s="21">
        <f t="shared" si="20"/>
        <v>0</v>
      </c>
    </row>
    <row r="126" spans="1:22" ht="76.5">
      <c r="A126" s="5" t="s">
        <v>42</v>
      </c>
      <c r="B126" s="35" t="s">
        <v>127</v>
      </c>
      <c r="C126" s="148" t="s">
        <v>21</v>
      </c>
      <c r="D126" s="161">
        <v>5910000000</v>
      </c>
      <c r="E126" s="161"/>
      <c r="F126" s="161"/>
      <c r="G126" s="37"/>
      <c r="H126" s="39">
        <f aca="true" t="shared" si="40" ref="H126:T126">H127</f>
        <v>20000</v>
      </c>
      <c r="I126" s="39">
        <f t="shared" si="40"/>
        <v>0</v>
      </c>
      <c r="J126" s="39">
        <f t="shared" si="40"/>
        <v>0</v>
      </c>
      <c r="K126" s="39">
        <f t="shared" si="40"/>
        <v>0</v>
      </c>
      <c r="L126" s="39">
        <f t="shared" si="40"/>
        <v>0</v>
      </c>
      <c r="M126" s="39">
        <f t="shared" si="40"/>
        <v>0</v>
      </c>
      <c r="N126" s="39">
        <f t="shared" si="40"/>
        <v>0</v>
      </c>
      <c r="O126" s="39">
        <f t="shared" si="40"/>
        <v>0</v>
      </c>
      <c r="P126" s="39">
        <f t="shared" si="40"/>
        <v>0</v>
      </c>
      <c r="Q126" s="39">
        <f t="shared" si="40"/>
        <v>0</v>
      </c>
      <c r="R126" s="39">
        <f t="shared" si="40"/>
        <v>0</v>
      </c>
      <c r="S126" s="39">
        <f t="shared" si="40"/>
        <v>20000</v>
      </c>
      <c r="T126" s="39">
        <f t="shared" si="40"/>
        <v>0</v>
      </c>
      <c r="U126" s="24">
        <f>I126+J126+K126+L126+M126+N126+O126+P126+Q126+R126+S126+T126</f>
        <v>20000</v>
      </c>
      <c r="V126" s="21">
        <f t="shared" si="20"/>
        <v>20000</v>
      </c>
    </row>
    <row r="127" spans="1:22" ht="12.75">
      <c r="A127" s="5" t="s">
        <v>42</v>
      </c>
      <c r="B127" s="47" t="s">
        <v>15</v>
      </c>
      <c r="C127" s="177" t="s">
        <v>21</v>
      </c>
      <c r="D127" s="177">
        <v>5910110080</v>
      </c>
      <c r="E127" s="178">
        <v>244</v>
      </c>
      <c r="F127" s="177">
        <v>226</v>
      </c>
      <c r="G127" s="62"/>
      <c r="H127" s="18">
        <v>20000</v>
      </c>
      <c r="I127" s="18">
        <v>0</v>
      </c>
      <c r="J127" s="18">
        <v>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v>20000</v>
      </c>
      <c r="T127" s="18">
        <v>0</v>
      </c>
      <c r="U127" s="24">
        <f>I127+J127+K127+L127+M127+N127+O127+P127+Q127+R127+S127+T127</f>
        <v>20000</v>
      </c>
      <c r="V127" s="21">
        <f t="shared" si="20"/>
        <v>20000</v>
      </c>
    </row>
    <row r="128" spans="1:22" ht="12.75">
      <c r="A128" s="42"/>
      <c r="B128" s="66"/>
      <c r="C128" s="133"/>
      <c r="D128" s="133"/>
      <c r="E128" s="133"/>
      <c r="F128" s="133"/>
      <c r="G128" s="62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24"/>
      <c r="V128" s="21">
        <f t="shared" si="20"/>
        <v>0</v>
      </c>
    </row>
    <row r="129" spans="1:22" ht="12.75">
      <c r="A129" s="42"/>
      <c r="B129" s="29" t="s">
        <v>53</v>
      </c>
      <c r="C129" s="149" t="s">
        <v>21</v>
      </c>
      <c r="D129" s="133"/>
      <c r="E129" s="133"/>
      <c r="F129" s="133"/>
      <c r="G129" s="62"/>
      <c r="H129" s="19">
        <f aca="true" t="shared" si="41" ref="H129:T129">H126</f>
        <v>20000</v>
      </c>
      <c r="I129" s="19">
        <f t="shared" si="41"/>
        <v>0</v>
      </c>
      <c r="J129" s="19">
        <f t="shared" si="41"/>
        <v>0</v>
      </c>
      <c r="K129" s="19">
        <f t="shared" si="41"/>
        <v>0</v>
      </c>
      <c r="L129" s="19">
        <f t="shared" si="41"/>
        <v>0</v>
      </c>
      <c r="M129" s="19">
        <f t="shared" si="41"/>
        <v>0</v>
      </c>
      <c r="N129" s="19">
        <f t="shared" si="41"/>
        <v>0</v>
      </c>
      <c r="O129" s="19">
        <f t="shared" si="41"/>
        <v>0</v>
      </c>
      <c r="P129" s="19">
        <f t="shared" si="41"/>
        <v>0</v>
      </c>
      <c r="Q129" s="19">
        <f t="shared" si="41"/>
        <v>0</v>
      </c>
      <c r="R129" s="19">
        <f t="shared" si="41"/>
        <v>0</v>
      </c>
      <c r="S129" s="19">
        <f t="shared" si="41"/>
        <v>20000</v>
      </c>
      <c r="T129" s="19">
        <f t="shared" si="41"/>
        <v>0</v>
      </c>
      <c r="U129" s="24">
        <f aca="true" t="shared" si="42" ref="U129:U142">I129+J129+K129+L129+M129+N129+O129+P129+Q129+R129+S129+T129</f>
        <v>20000</v>
      </c>
      <c r="V129" s="21">
        <f t="shared" si="20"/>
        <v>20000</v>
      </c>
    </row>
    <row r="130" spans="1:22" ht="12.75">
      <c r="A130" s="42"/>
      <c r="B130" s="66"/>
      <c r="C130" s="133"/>
      <c r="D130" s="133"/>
      <c r="E130" s="133"/>
      <c r="F130" s="133"/>
      <c r="G130" s="62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24">
        <f t="shared" si="42"/>
        <v>0</v>
      </c>
      <c r="V130" s="21">
        <f t="shared" si="20"/>
        <v>0</v>
      </c>
    </row>
    <row r="131" spans="1:22" ht="81" customHeight="1">
      <c r="A131" s="5" t="s">
        <v>42</v>
      </c>
      <c r="B131" s="35" t="s">
        <v>128</v>
      </c>
      <c r="C131" s="148" t="s">
        <v>22</v>
      </c>
      <c r="D131" s="161">
        <v>5920000000</v>
      </c>
      <c r="E131" s="161"/>
      <c r="F131" s="161"/>
      <c r="G131" s="161"/>
      <c r="H131" s="39">
        <f aca="true" t="shared" si="43" ref="H131:T131">H132</f>
        <v>112500</v>
      </c>
      <c r="I131" s="39">
        <f t="shared" si="43"/>
        <v>0</v>
      </c>
      <c r="J131" s="39">
        <f t="shared" si="43"/>
        <v>0</v>
      </c>
      <c r="K131" s="39">
        <f t="shared" si="43"/>
        <v>0</v>
      </c>
      <c r="L131" s="39">
        <f t="shared" si="43"/>
        <v>5000</v>
      </c>
      <c r="M131" s="39">
        <f t="shared" si="43"/>
        <v>0</v>
      </c>
      <c r="N131" s="39">
        <f t="shared" si="43"/>
        <v>0</v>
      </c>
      <c r="O131" s="39">
        <f t="shared" si="43"/>
        <v>5000</v>
      </c>
      <c r="P131" s="39">
        <f t="shared" si="43"/>
        <v>0</v>
      </c>
      <c r="Q131" s="39">
        <f t="shared" si="43"/>
        <v>0</v>
      </c>
      <c r="R131" s="39">
        <f t="shared" si="43"/>
        <v>46000</v>
      </c>
      <c r="S131" s="39">
        <f t="shared" si="43"/>
        <v>32500</v>
      </c>
      <c r="T131" s="39">
        <f t="shared" si="43"/>
        <v>24000</v>
      </c>
      <c r="U131" s="24">
        <f t="shared" si="42"/>
        <v>112500</v>
      </c>
      <c r="V131" s="21">
        <f t="shared" si="20"/>
        <v>112500</v>
      </c>
    </row>
    <row r="132" spans="1:22" ht="12.75">
      <c r="A132" s="5" t="s">
        <v>42</v>
      </c>
      <c r="B132" s="47" t="s">
        <v>15</v>
      </c>
      <c r="C132" s="168" t="s">
        <v>22</v>
      </c>
      <c r="D132" s="177">
        <v>5920110090</v>
      </c>
      <c r="E132" s="178">
        <v>244</v>
      </c>
      <c r="F132" s="177">
        <v>226</v>
      </c>
      <c r="G132" s="177"/>
      <c r="H132" s="18">
        <v>112500</v>
      </c>
      <c r="I132" s="18">
        <v>0</v>
      </c>
      <c r="J132" s="18">
        <v>0</v>
      </c>
      <c r="K132" s="18">
        <v>0</v>
      </c>
      <c r="L132" s="18">
        <v>5000</v>
      </c>
      <c r="M132" s="18">
        <v>0</v>
      </c>
      <c r="N132" s="18">
        <v>0</v>
      </c>
      <c r="O132" s="18">
        <v>5000</v>
      </c>
      <c r="P132" s="18">
        <v>0</v>
      </c>
      <c r="Q132" s="18">
        <v>0</v>
      </c>
      <c r="R132" s="18">
        <v>46000</v>
      </c>
      <c r="S132" s="18">
        <f>19500+13000</f>
        <v>32500</v>
      </c>
      <c r="T132" s="18">
        <v>24000</v>
      </c>
      <c r="U132" s="24">
        <f t="shared" si="42"/>
        <v>112500</v>
      </c>
      <c r="V132" s="21">
        <f t="shared" si="20"/>
        <v>112500</v>
      </c>
    </row>
    <row r="133" spans="1:22" ht="12.75">
      <c r="A133" s="42"/>
      <c r="B133" s="66"/>
      <c r="C133" s="129"/>
      <c r="D133" s="133"/>
      <c r="E133" s="133"/>
      <c r="F133" s="133"/>
      <c r="G133" s="62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24">
        <f t="shared" si="42"/>
        <v>0</v>
      </c>
      <c r="V133" s="21">
        <f t="shared" si="20"/>
        <v>0</v>
      </c>
    </row>
    <row r="134" spans="1:22" ht="92.25" customHeight="1">
      <c r="A134" s="5" t="s">
        <v>42</v>
      </c>
      <c r="B134" s="35" t="s">
        <v>129</v>
      </c>
      <c r="C134" s="148" t="s">
        <v>22</v>
      </c>
      <c r="D134" s="161">
        <v>5930000000</v>
      </c>
      <c r="E134" s="161"/>
      <c r="F134" s="161"/>
      <c r="G134" s="38"/>
      <c r="H134" s="39">
        <f aca="true" t="shared" si="44" ref="H134:T134">H135</f>
        <v>197000</v>
      </c>
      <c r="I134" s="39">
        <f t="shared" si="44"/>
        <v>0</v>
      </c>
      <c r="J134" s="39">
        <f t="shared" si="44"/>
        <v>0</v>
      </c>
      <c r="K134" s="39">
        <f t="shared" si="44"/>
        <v>0</v>
      </c>
      <c r="L134" s="39">
        <f t="shared" si="44"/>
        <v>49250</v>
      </c>
      <c r="M134" s="39">
        <f t="shared" si="44"/>
        <v>0</v>
      </c>
      <c r="N134" s="39">
        <f t="shared" si="44"/>
        <v>0</v>
      </c>
      <c r="O134" s="39">
        <f t="shared" si="44"/>
        <v>49250</v>
      </c>
      <c r="P134" s="39">
        <f t="shared" si="44"/>
        <v>0</v>
      </c>
      <c r="Q134" s="39">
        <f t="shared" si="44"/>
        <v>0</v>
      </c>
      <c r="R134" s="39">
        <f t="shared" si="44"/>
        <v>49250</v>
      </c>
      <c r="S134" s="39">
        <f t="shared" si="44"/>
        <v>0</v>
      </c>
      <c r="T134" s="39">
        <f t="shared" si="44"/>
        <v>49250</v>
      </c>
      <c r="U134" s="24">
        <f t="shared" si="42"/>
        <v>197000</v>
      </c>
      <c r="V134" s="21">
        <f t="shared" si="20"/>
        <v>197000</v>
      </c>
    </row>
    <row r="135" spans="1:22" ht="12.75">
      <c r="A135" s="5" t="s">
        <v>42</v>
      </c>
      <c r="B135" s="47" t="s">
        <v>16</v>
      </c>
      <c r="C135" s="177" t="s">
        <v>22</v>
      </c>
      <c r="D135" s="177">
        <v>5930110100</v>
      </c>
      <c r="E135" s="178">
        <v>244</v>
      </c>
      <c r="F135" s="177">
        <v>290</v>
      </c>
      <c r="G135" s="179"/>
      <c r="H135" s="18">
        <v>197000</v>
      </c>
      <c r="I135" s="18">
        <v>0</v>
      </c>
      <c r="J135" s="18">
        <v>0</v>
      </c>
      <c r="K135" s="18">
        <v>0</v>
      </c>
      <c r="L135" s="18">
        <v>49250</v>
      </c>
      <c r="M135" s="18">
        <v>0</v>
      </c>
      <c r="N135" s="18">
        <v>0</v>
      </c>
      <c r="O135" s="18">
        <v>49250</v>
      </c>
      <c r="P135" s="18">
        <v>0</v>
      </c>
      <c r="Q135" s="18">
        <v>0</v>
      </c>
      <c r="R135" s="18">
        <v>49250</v>
      </c>
      <c r="S135" s="18">
        <v>0</v>
      </c>
      <c r="T135" s="18">
        <v>49250</v>
      </c>
      <c r="U135" s="24">
        <f t="shared" si="42"/>
        <v>197000</v>
      </c>
      <c r="V135" s="21">
        <f t="shared" si="20"/>
        <v>197000</v>
      </c>
    </row>
    <row r="136" spans="1:22" ht="12.75">
      <c r="A136" s="5"/>
      <c r="B136" s="68"/>
      <c r="C136" s="133"/>
      <c r="D136" s="133"/>
      <c r="E136" s="134"/>
      <c r="F136" s="133"/>
      <c r="G136" s="6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24">
        <f t="shared" si="42"/>
        <v>0</v>
      </c>
      <c r="V136" s="21">
        <f aca="true" t="shared" si="45" ref="V136:V199">SUM(I136:T136)</f>
        <v>0</v>
      </c>
    </row>
    <row r="137" spans="1:22" ht="63.75">
      <c r="A137" s="5" t="s">
        <v>42</v>
      </c>
      <c r="B137" s="35" t="s">
        <v>130</v>
      </c>
      <c r="C137" s="148" t="s">
        <v>22</v>
      </c>
      <c r="D137" s="161">
        <v>6010000000</v>
      </c>
      <c r="E137" s="161"/>
      <c r="F137" s="161"/>
      <c r="G137" s="37"/>
      <c r="H137" s="39">
        <f aca="true" t="shared" si="46" ref="H137:T137">H138</f>
        <v>15000</v>
      </c>
      <c r="I137" s="39">
        <f t="shared" si="46"/>
        <v>0</v>
      </c>
      <c r="J137" s="39">
        <f t="shared" si="46"/>
        <v>0</v>
      </c>
      <c r="K137" s="39">
        <f t="shared" si="46"/>
        <v>0</v>
      </c>
      <c r="L137" s="39">
        <f t="shared" si="46"/>
        <v>0</v>
      </c>
      <c r="M137" s="39">
        <f t="shared" si="46"/>
        <v>0</v>
      </c>
      <c r="N137" s="39">
        <f t="shared" si="46"/>
        <v>0</v>
      </c>
      <c r="O137" s="39">
        <f t="shared" si="46"/>
        <v>0</v>
      </c>
      <c r="P137" s="39">
        <f t="shared" si="46"/>
        <v>0</v>
      </c>
      <c r="Q137" s="39">
        <f t="shared" si="46"/>
        <v>0</v>
      </c>
      <c r="R137" s="39">
        <f t="shared" si="46"/>
        <v>0</v>
      </c>
      <c r="S137" s="39">
        <f t="shared" si="46"/>
        <v>0</v>
      </c>
      <c r="T137" s="39">
        <f t="shared" si="46"/>
        <v>15000</v>
      </c>
      <c r="U137" s="24">
        <f t="shared" si="42"/>
        <v>15000</v>
      </c>
      <c r="V137" s="21">
        <f t="shared" si="45"/>
        <v>15000</v>
      </c>
    </row>
    <row r="138" spans="1:22" ht="12.75">
      <c r="A138" s="5" t="s">
        <v>42</v>
      </c>
      <c r="B138" s="47" t="s">
        <v>15</v>
      </c>
      <c r="C138" s="168" t="s">
        <v>22</v>
      </c>
      <c r="D138" s="177">
        <v>6010110120</v>
      </c>
      <c r="E138" s="178">
        <v>244</v>
      </c>
      <c r="F138" s="177">
        <v>226</v>
      </c>
      <c r="G138" s="67"/>
      <c r="H138" s="18">
        <v>15000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15000</v>
      </c>
      <c r="U138" s="24">
        <f t="shared" si="42"/>
        <v>15000</v>
      </c>
      <c r="V138" s="21">
        <f t="shared" si="45"/>
        <v>15000</v>
      </c>
    </row>
    <row r="139" spans="1:22" ht="12.75">
      <c r="A139" s="5"/>
      <c r="B139" s="68"/>
      <c r="C139" s="168"/>
      <c r="D139" s="177"/>
      <c r="E139" s="178"/>
      <c r="F139" s="177"/>
      <c r="G139" s="6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24">
        <f t="shared" si="42"/>
        <v>0</v>
      </c>
      <c r="V139" s="21">
        <f t="shared" si="45"/>
        <v>0</v>
      </c>
    </row>
    <row r="140" spans="1:22" ht="12.75">
      <c r="A140" s="5"/>
      <c r="B140" s="29" t="s">
        <v>53</v>
      </c>
      <c r="C140" s="180" t="s">
        <v>22</v>
      </c>
      <c r="D140" s="177"/>
      <c r="E140" s="178"/>
      <c r="F140" s="177"/>
      <c r="G140" s="67"/>
      <c r="H140" s="19">
        <f aca="true" t="shared" si="47" ref="H140:T140">H137+H134+H131</f>
        <v>324500</v>
      </c>
      <c r="I140" s="19">
        <f t="shared" si="47"/>
        <v>0</v>
      </c>
      <c r="J140" s="19">
        <f t="shared" si="47"/>
        <v>0</v>
      </c>
      <c r="K140" s="19">
        <f t="shared" si="47"/>
        <v>0</v>
      </c>
      <c r="L140" s="19">
        <f t="shared" si="47"/>
        <v>54250</v>
      </c>
      <c r="M140" s="19">
        <f t="shared" si="47"/>
        <v>0</v>
      </c>
      <c r="N140" s="19">
        <f t="shared" si="47"/>
        <v>0</v>
      </c>
      <c r="O140" s="19">
        <f t="shared" si="47"/>
        <v>54250</v>
      </c>
      <c r="P140" s="19">
        <f t="shared" si="47"/>
        <v>0</v>
      </c>
      <c r="Q140" s="19">
        <f t="shared" si="47"/>
        <v>0</v>
      </c>
      <c r="R140" s="19">
        <f t="shared" si="47"/>
        <v>95250</v>
      </c>
      <c r="S140" s="19">
        <f t="shared" si="47"/>
        <v>32500</v>
      </c>
      <c r="T140" s="19">
        <f t="shared" si="47"/>
        <v>88250</v>
      </c>
      <c r="U140" s="24">
        <f t="shared" si="42"/>
        <v>324500</v>
      </c>
      <c r="V140" s="21">
        <f t="shared" si="45"/>
        <v>324500</v>
      </c>
    </row>
    <row r="141" spans="1:22" ht="12.75">
      <c r="A141" s="5"/>
      <c r="B141" s="68"/>
      <c r="C141" s="129"/>
      <c r="D141" s="133"/>
      <c r="E141" s="134"/>
      <c r="F141" s="133"/>
      <c r="G141" s="6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24">
        <f t="shared" si="42"/>
        <v>0</v>
      </c>
      <c r="V141" s="21">
        <f t="shared" si="45"/>
        <v>0</v>
      </c>
    </row>
    <row r="142" spans="1:22" ht="12.75">
      <c r="A142" s="53"/>
      <c r="B142" s="54" t="s">
        <v>70</v>
      </c>
      <c r="C142" s="137"/>
      <c r="D142" s="135"/>
      <c r="E142" s="138"/>
      <c r="F142" s="135"/>
      <c r="G142" s="69"/>
      <c r="H142" s="70">
        <f aca="true" t="shared" si="48" ref="H142:T142">H140+H129</f>
        <v>344500</v>
      </c>
      <c r="I142" s="70">
        <f t="shared" si="48"/>
        <v>0</v>
      </c>
      <c r="J142" s="70">
        <f t="shared" si="48"/>
        <v>0</v>
      </c>
      <c r="K142" s="70">
        <f t="shared" si="48"/>
        <v>0</v>
      </c>
      <c r="L142" s="70">
        <f t="shared" si="48"/>
        <v>54250</v>
      </c>
      <c r="M142" s="70">
        <f t="shared" si="48"/>
        <v>0</v>
      </c>
      <c r="N142" s="70">
        <f t="shared" si="48"/>
        <v>0</v>
      </c>
      <c r="O142" s="70">
        <f t="shared" si="48"/>
        <v>54250</v>
      </c>
      <c r="P142" s="70">
        <f t="shared" si="48"/>
        <v>0</v>
      </c>
      <c r="Q142" s="70">
        <f t="shared" si="48"/>
        <v>0</v>
      </c>
      <c r="R142" s="70">
        <f t="shared" si="48"/>
        <v>95250</v>
      </c>
      <c r="S142" s="70">
        <f t="shared" si="48"/>
        <v>52500</v>
      </c>
      <c r="T142" s="70">
        <f t="shared" si="48"/>
        <v>88250</v>
      </c>
      <c r="U142" s="24">
        <f t="shared" si="42"/>
        <v>344500</v>
      </c>
      <c r="V142" s="199">
        <f t="shared" si="45"/>
        <v>344500</v>
      </c>
    </row>
    <row r="143" spans="1:22" ht="12.75">
      <c r="A143" s="5"/>
      <c r="B143" s="68"/>
      <c r="C143" s="129"/>
      <c r="D143" s="133"/>
      <c r="E143" s="134"/>
      <c r="F143" s="133"/>
      <c r="G143" s="6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24"/>
      <c r="V143" s="21">
        <f t="shared" si="45"/>
        <v>0</v>
      </c>
    </row>
    <row r="144" spans="1:22" ht="102">
      <c r="A144" s="5" t="s">
        <v>42</v>
      </c>
      <c r="B144" s="35" t="s">
        <v>131</v>
      </c>
      <c r="C144" s="148" t="s">
        <v>47</v>
      </c>
      <c r="D144" s="161">
        <v>6100000000</v>
      </c>
      <c r="E144" s="117"/>
      <c r="F144" s="117"/>
      <c r="G144" s="37"/>
      <c r="H144" s="39">
        <f>H146+H149</f>
        <v>7917220.72</v>
      </c>
      <c r="I144" s="39">
        <f aca="true" t="shared" si="49" ref="I144:T144">I146+I149+I152</f>
        <v>80000</v>
      </c>
      <c r="J144" s="39">
        <f t="shared" si="49"/>
        <v>20000</v>
      </c>
      <c r="K144" s="39">
        <f t="shared" si="49"/>
        <v>35000</v>
      </c>
      <c r="L144" s="39">
        <f t="shared" si="49"/>
        <v>280050</v>
      </c>
      <c r="M144" s="39">
        <f t="shared" si="49"/>
        <v>111375</v>
      </c>
      <c r="N144" s="39">
        <f t="shared" si="49"/>
        <v>0</v>
      </c>
      <c r="O144" s="39">
        <f t="shared" si="49"/>
        <v>362020.72</v>
      </c>
      <c r="P144" s="39">
        <f t="shared" si="49"/>
        <v>864960</v>
      </c>
      <c r="Q144" s="39">
        <f t="shared" si="49"/>
        <v>200000</v>
      </c>
      <c r="R144" s="39">
        <f t="shared" si="49"/>
        <v>1376775</v>
      </c>
      <c r="S144" s="39">
        <f t="shared" si="49"/>
        <v>1953415</v>
      </c>
      <c r="T144" s="39">
        <f t="shared" si="49"/>
        <v>2663625</v>
      </c>
      <c r="U144" s="24">
        <f>I144+J144+K144+L144+M144+N144+O144+P144+Q144+R144+S144+T144</f>
        <v>7947220.72</v>
      </c>
      <c r="V144" s="21">
        <f>V146+V149</f>
        <v>7917220.72</v>
      </c>
    </row>
    <row r="145" spans="1:22" ht="12.75">
      <c r="A145" s="5"/>
      <c r="B145" s="71"/>
      <c r="C145" s="123"/>
      <c r="D145" s="123"/>
      <c r="E145" s="123"/>
      <c r="F145" s="123"/>
      <c r="G145" s="44"/>
      <c r="H145" s="7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24"/>
      <c r="V145" s="21">
        <f t="shared" si="45"/>
        <v>0</v>
      </c>
    </row>
    <row r="146" spans="1:22" ht="89.25">
      <c r="A146" s="5" t="s">
        <v>42</v>
      </c>
      <c r="B146" s="35" t="s">
        <v>132</v>
      </c>
      <c r="C146" s="148" t="s">
        <v>47</v>
      </c>
      <c r="D146" s="161">
        <v>6110000000</v>
      </c>
      <c r="E146" s="161"/>
      <c r="F146" s="161"/>
      <c r="G146" s="37"/>
      <c r="H146" s="39">
        <f>H147+H148</f>
        <v>1100000</v>
      </c>
      <c r="I146" s="39">
        <f aca="true" t="shared" si="50" ref="I146:T146">I147+I148</f>
        <v>0</v>
      </c>
      <c r="J146" s="39">
        <f t="shared" si="50"/>
        <v>0</v>
      </c>
      <c r="K146" s="39">
        <f t="shared" si="50"/>
        <v>0</v>
      </c>
      <c r="L146" s="39">
        <f t="shared" si="50"/>
        <v>0</v>
      </c>
      <c r="M146" s="39">
        <f t="shared" si="50"/>
        <v>0</v>
      </c>
      <c r="N146" s="39">
        <f t="shared" si="50"/>
        <v>0</v>
      </c>
      <c r="O146" s="39">
        <f t="shared" si="50"/>
        <v>0</v>
      </c>
      <c r="P146" s="39">
        <f t="shared" si="50"/>
        <v>0</v>
      </c>
      <c r="Q146" s="39">
        <f t="shared" si="50"/>
        <v>0</v>
      </c>
      <c r="R146" s="39">
        <f t="shared" si="50"/>
        <v>350000</v>
      </c>
      <c r="S146" s="39">
        <f t="shared" si="50"/>
        <v>150000</v>
      </c>
      <c r="T146" s="39">
        <f t="shared" si="50"/>
        <v>600000</v>
      </c>
      <c r="U146" s="24">
        <f aca="true" t="shared" si="51" ref="U146:U153">I146+J146+K146+L146+M146+N146+O146+P146+Q146+R146+S146+T146</f>
        <v>1100000</v>
      </c>
      <c r="V146" s="21">
        <f t="shared" si="45"/>
        <v>1100000</v>
      </c>
    </row>
    <row r="147" spans="1:22" ht="25.5">
      <c r="A147" s="5" t="s">
        <v>42</v>
      </c>
      <c r="B147" s="72" t="s">
        <v>71</v>
      </c>
      <c r="C147" s="170" t="s">
        <v>47</v>
      </c>
      <c r="D147" s="181" t="s">
        <v>72</v>
      </c>
      <c r="E147" s="171">
        <v>244</v>
      </c>
      <c r="F147" s="171">
        <v>225</v>
      </c>
      <c r="G147" s="44"/>
      <c r="H147" s="52">
        <v>1100000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350000</v>
      </c>
      <c r="S147" s="18">
        <v>150000</v>
      </c>
      <c r="T147" s="18">
        <v>600000</v>
      </c>
      <c r="U147" s="24">
        <f t="shared" si="51"/>
        <v>1100000</v>
      </c>
      <c r="V147" s="21">
        <f t="shared" si="45"/>
        <v>1100000</v>
      </c>
    </row>
    <row r="148" spans="1:22" ht="12.75">
      <c r="A148" s="5"/>
      <c r="B148" s="71"/>
      <c r="C148" s="170"/>
      <c r="D148" s="181"/>
      <c r="E148" s="171"/>
      <c r="F148" s="171"/>
      <c r="G148" s="44"/>
      <c r="H148" s="78">
        <v>0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>
        <v>0</v>
      </c>
      <c r="U148" s="24">
        <f t="shared" si="51"/>
        <v>0</v>
      </c>
      <c r="V148" s="21">
        <f t="shared" si="45"/>
        <v>0</v>
      </c>
    </row>
    <row r="149" spans="1:22" ht="76.5">
      <c r="A149" s="5" t="s">
        <v>42</v>
      </c>
      <c r="B149" s="35" t="s">
        <v>133</v>
      </c>
      <c r="C149" s="148" t="s">
        <v>47</v>
      </c>
      <c r="D149" s="161">
        <v>6120000000</v>
      </c>
      <c r="E149" s="161"/>
      <c r="F149" s="161"/>
      <c r="G149" s="161"/>
      <c r="H149" s="39">
        <f aca="true" t="shared" si="52" ref="H149:T149">H150</f>
        <v>6817220.72</v>
      </c>
      <c r="I149" s="39">
        <f t="shared" si="52"/>
        <v>80000</v>
      </c>
      <c r="J149" s="39">
        <f t="shared" si="52"/>
        <v>20000</v>
      </c>
      <c r="K149" s="39">
        <f t="shared" si="52"/>
        <v>35000</v>
      </c>
      <c r="L149" s="39">
        <f t="shared" si="52"/>
        <v>280050</v>
      </c>
      <c r="M149" s="39">
        <f t="shared" si="52"/>
        <v>111375</v>
      </c>
      <c r="N149" s="39">
        <f t="shared" si="52"/>
        <v>0</v>
      </c>
      <c r="O149" s="39">
        <f t="shared" si="52"/>
        <v>362020.72</v>
      </c>
      <c r="P149" s="39">
        <f t="shared" si="52"/>
        <v>864960</v>
      </c>
      <c r="Q149" s="39">
        <f t="shared" si="52"/>
        <v>200000</v>
      </c>
      <c r="R149" s="39">
        <f t="shared" si="52"/>
        <v>1026775</v>
      </c>
      <c r="S149" s="39">
        <f t="shared" si="52"/>
        <v>1803415</v>
      </c>
      <c r="T149" s="39">
        <f t="shared" si="52"/>
        <v>2033625</v>
      </c>
      <c r="U149" s="24">
        <f t="shared" si="51"/>
        <v>6817220.72</v>
      </c>
      <c r="V149" s="21">
        <f t="shared" si="45"/>
        <v>6817220.72</v>
      </c>
    </row>
    <row r="150" spans="1:22" ht="25.5">
      <c r="A150" s="5" t="s">
        <v>42</v>
      </c>
      <c r="B150" s="72" t="s">
        <v>71</v>
      </c>
      <c r="C150" s="170" t="s">
        <v>47</v>
      </c>
      <c r="D150" s="171">
        <v>6120110140</v>
      </c>
      <c r="E150" s="171">
        <v>244</v>
      </c>
      <c r="F150" s="171">
        <v>225</v>
      </c>
      <c r="G150" s="60"/>
      <c r="H150" s="52">
        <f>6655200+162020.72</f>
        <v>6817220.72</v>
      </c>
      <c r="I150" s="18">
        <v>80000</v>
      </c>
      <c r="J150" s="18">
        <v>20000</v>
      </c>
      <c r="K150" s="18">
        <v>35000</v>
      </c>
      <c r="L150" s="18">
        <v>280050</v>
      </c>
      <c r="M150" s="18">
        <v>111375</v>
      </c>
      <c r="N150" s="18">
        <v>0</v>
      </c>
      <c r="O150" s="18">
        <f>200000+162020.72</f>
        <v>362020.72</v>
      </c>
      <c r="P150" s="18">
        <v>864960</v>
      </c>
      <c r="Q150" s="18">
        <v>200000</v>
      </c>
      <c r="R150" s="18">
        <v>1026775</v>
      </c>
      <c r="S150" s="18">
        <v>1803415</v>
      </c>
      <c r="T150" s="18">
        <f>3098625-1065000</f>
        <v>2033625</v>
      </c>
      <c r="U150" s="24">
        <f t="shared" si="51"/>
        <v>6817220.72</v>
      </c>
      <c r="V150" s="21">
        <f t="shared" si="45"/>
        <v>6817220.72</v>
      </c>
    </row>
    <row r="151" spans="1:22" ht="12.75">
      <c r="A151" s="5"/>
      <c r="B151" s="71"/>
      <c r="C151" s="123"/>
      <c r="D151" s="123"/>
      <c r="E151" s="123"/>
      <c r="F151" s="123"/>
      <c r="G151" s="44"/>
      <c r="H151" s="7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24">
        <f t="shared" si="51"/>
        <v>0</v>
      </c>
      <c r="V151" s="21">
        <f t="shared" si="45"/>
        <v>0</v>
      </c>
    </row>
    <row r="152" spans="1:22" ht="76.5">
      <c r="A152" s="42" t="s">
        <v>42</v>
      </c>
      <c r="B152" s="35" t="s">
        <v>134</v>
      </c>
      <c r="C152" s="148" t="s">
        <v>47</v>
      </c>
      <c r="D152" s="161">
        <v>6600110420</v>
      </c>
      <c r="E152" s="161"/>
      <c r="F152" s="161"/>
      <c r="G152" s="161"/>
      <c r="H152" s="39">
        <f aca="true" t="shared" si="53" ref="H152:T152">H153</f>
        <v>30000</v>
      </c>
      <c r="I152" s="39">
        <f t="shared" si="53"/>
        <v>0</v>
      </c>
      <c r="J152" s="39">
        <f t="shared" si="53"/>
        <v>0</v>
      </c>
      <c r="K152" s="39">
        <f t="shared" si="53"/>
        <v>0</v>
      </c>
      <c r="L152" s="39">
        <f t="shared" si="53"/>
        <v>0</v>
      </c>
      <c r="M152" s="39">
        <f t="shared" si="53"/>
        <v>0</v>
      </c>
      <c r="N152" s="39">
        <f t="shared" si="53"/>
        <v>0</v>
      </c>
      <c r="O152" s="39">
        <f t="shared" si="53"/>
        <v>0</v>
      </c>
      <c r="P152" s="39">
        <f t="shared" si="53"/>
        <v>0</v>
      </c>
      <c r="Q152" s="39">
        <f t="shared" si="53"/>
        <v>0</v>
      </c>
      <c r="R152" s="39">
        <f t="shared" si="53"/>
        <v>0</v>
      </c>
      <c r="S152" s="39">
        <f t="shared" si="53"/>
        <v>0</v>
      </c>
      <c r="T152" s="39">
        <f t="shared" si="53"/>
        <v>30000</v>
      </c>
      <c r="U152" s="24">
        <f t="shared" si="51"/>
        <v>30000</v>
      </c>
      <c r="V152" s="21">
        <f t="shared" si="45"/>
        <v>30000</v>
      </c>
    </row>
    <row r="153" spans="1:22" ht="25.5">
      <c r="A153" s="5" t="s">
        <v>42</v>
      </c>
      <c r="B153" s="72" t="s">
        <v>71</v>
      </c>
      <c r="C153" s="170" t="s">
        <v>47</v>
      </c>
      <c r="D153" s="171">
        <v>6600110420</v>
      </c>
      <c r="E153" s="171">
        <v>244</v>
      </c>
      <c r="F153" s="171">
        <v>225</v>
      </c>
      <c r="G153" s="60"/>
      <c r="H153" s="52">
        <v>30000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30000</v>
      </c>
      <c r="U153" s="24">
        <f t="shared" si="51"/>
        <v>30000</v>
      </c>
      <c r="V153" s="21">
        <f t="shared" si="45"/>
        <v>30000</v>
      </c>
    </row>
    <row r="154" spans="1:22" ht="12.75">
      <c r="A154" s="5"/>
      <c r="B154" s="71"/>
      <c r="C154" s="123"/>
      <c r="D154" s="123"/>
      <c r="E154" s="123"/>
      <c r="F154" s="123"/>
      <c r="G154" s="44"/>
      <c r="H154" s="7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24"/>
      <c r="V154" s="21">
        <f t="shared" si="45"/>
        <v>0</v>
      </c>
    </row>
    <row r="155" spans="1:22" ht="12.75">
      <c r="A155" s="5"/>
      <c r="B155" s="29" t="s">
        <v>53</v>
      </c>
      <c r="C155" s="180" t="s">
        <v>47</v>
      </c>
      <c r="D155" s="123"/>
      <c r="E155" s="123"/>
      <c r="F155" s="123"/>
      <c r="G155" s="44"/>
      <c r="H155" s="74">
        <f>H144+H152</f>
        <v>7947220.72</v>
      </c>
      <c r="I155" s="75">
        <f aca="true" t="shared" si="54" ref="I155:T155">I144</f>
        <v>80000</v>
      </c>
      <c r="J155" s="75">
        <f t="shared" si="54"/>
        <v>20000</v>
      </c>
      <c r="K155" s="75">
        <f t="shared" si="54"/>
        <v>35000</v>
      </c>
      <c r="L155" s="75">
        <f t="shared" si="54"/>
        <v>280050</v>
      </c>
      <c r="M155" s="75">
        <f t="shared" si="54"/>
        <v>111375</v>
      </c>
      <c r="N155" s="75">
        <f t="shared" si="54"/>
        <v>0</v>
      </c>
      <c r="O155" s="75">
        <f t="shared" si="54"/>
        <v>362020.72</v>
      </c>
      <c r="P155" s="75">
        <f t="shared" si="54"/>
        <v>864960</v>
      </c>
      <c r="Q155" s="75">
        <f t="shared" si="54"/>
        <v>200000</v>
      </c>
      <c r="R155" s="75">
        <f t="shared" si="54"/>
        <v>1376775</v>
      </c>
      <c r="S155" s="75">
        <f t="shared" si="54"/>
        <v>1953415</v>
      </c>
      <c r="T155" s="75">
        <f t="shared" si="54"/>
        <v>2663625</v>
      </c>
      <c r="U155" s="24">
        <f>I155+J155+K155+L155+M155+N155+O155+P155+Q155+R155+S155+T155</f>
        <v>7947220.72</v>
      </c>
      <c r="V155" s="21">
        <f t="shared" si="45"/>
        <v>7947220.72</v>
      </c>
    </row>
    <row r="156" spans="1:22" ht="12.75">
      <c r="A156" s="5"/>
      <c r="B156" s="71"/>
      <c r="C156" s="123"/>
      <c r="D156" s="123"/>
      <c r="E156" s="123"/>
      <c r="F156" s="123"/>
      <c r="G156" s="44"/>
      <c r="H156" s="7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24"/>
      <c r="V156" s="21">
        <f t="shared" si="45"/>
        <v>0</v>
      </c>
    </row>
    <row r="157" spans="1:22" ht="89.25">
      <c r="A157" s="5" t="s">
        <v>42</v>
      </c>
      <c r="B157" s="35" t="s">
        <v>136</v>
      </c>
      <c r="C157" s="148" t="s">
        <v>23</v>
      </c>
      <c r="D157" s="161">
        <v>6200000000</v>
      </c>
      <c r="E157" s="161"/>
      <c r="F157" s="161"/>
      <c r="G157" s="161"/>
      <c r="H157" s="39">
        <f aca="true" t="shared" si="55" ref="H157:T157">H158</f>
        <v>50000</v>
      </c>
      <c r="I157" s="39">
        <f t="shared" si="55"/>
        <v>0</v>
      </c>
      <c r="J157" s="39">
        <f t="shared" si="55"/>
        <v>0</v>
      </c>
      <c r="K157" s="39">
        <f t="shared" si="55"/>
        <v>0</v>
      </c>
      <c r="L157" s="39">
        <f t="shared" si="55"/>
        <v>12500</v>
      </c>
      <c r="M157" s="39">
        <f t="shared" si="55"/>
        <v>0</v>
      </c>
      <c r="N157" s="39">
        <f t="shared" si="55"/>
        <v>0</v>
      </c>
      <c r="O157" s="39">
        <f t="shared" si="55"/>
        <v>0</v>
      </c>
      <c r="P157" s="39">
        <f t="shared" si="55"/>
        <v>0</v>
      </c>
      <c r="Q157" s="39">
        <f t="shared" si="55"/>
        <v>0</v>
      </c>
      <c r="R157" s="39">
        <f t="shared" si="55"/>
        <v>12500</v>
      </c>
      <c r="S157" s="39">
        <f t="shared" si="55"/>
        <v>12500</v>
      </c>
      <c r="T157" s="39">
        <f t="shared" si="55"/>
        <v>12500</v>
      </c>
      <c r="U157" s="24">
        <f>I157+J157+K157+L157+M157+N157+O157+P157+Q157+R157+S157+T157</f>
        <v>50000</v>
      </c>
      <c r="V157" s="21">
        <f t="shared" si="45"/>
        <v>50000</v>
      </c>
    </row>
    <row r="158" spans="1:22" ht="12.75">
      <c r="A158" s="5" t="s">
        <v>42</v>
      </c>
      <c r="B158" s="47" t="s">
        <v>15</v>
      </c>
      <c r="C158" s="170" t="s">
        <v>23</v>
      </c>
      <c r="D158" s="171">
        <v>6210110160</v>
      </c>
      <c r="E158" s="171">
        <v>414</v>
      </c>
      <c r="F158" s="171">
        <v>226</v>
      </c>
      <c r="G158" s="60"/>
      <c r="H158" s="52">
        <v>50000</v>
      </c>
      <c r="I158" s="18">
        <v>0</v>
      </c>
      <c r="J158" s="18">
        <v>0</v>
      </c>
      <c r="K158" s="18">
        <v>0</v>
      </c>
      <c r="L158" s="18">
        <v>12500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12500</v>
      </c>
      <c r="S158" s="18">
        <v>12500</v>
      </c>
      <c r="T158" s="18">
        <v>12500</v>
      </c>
      <c r="U158" s="24">
        <f>I158+J158+K158+L158+M158+N158+O158+P158+Q158+R158+S158+T158</f>
        <v>50000</v>
      </c>
      <c r="V158" s="21">
        <f t="shared" si="45"/>
        <v>50000</v>
      </c>
    </row>
    <row r="159" spans="1:22" ht="12.75">
      <c r="A159" s="5"/>
      <c r="B159" s="71"/>
      <c r="C159" s="123"/>
      <c r="D159" s="123"/>
      <c r="E159" s="123"/>
      <c r="F159" s="123"/>
      <c r="G159" s="44"/>
      <c r="H159" s="77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24"/>
      <c r="V159" s="21">
        <f t="shared" si="45"/>
        <v>0</v>
      </c>
    </row>
    <row r="160" spans="1:22" ht="89.25">
      <c r="A160" s="5" t="s">
        <v>42</v>
      </c>
      <c r="B160" s="35" t="s">
        <v>135</v>
      </c>
      <c r="C160" s="148" t="s">
        <v>23</v>
      </c>
      <c r="D160" s="161">
        <v>6300000000</v>
      </c>
      <c r="E160" s="161"/>
      <c r="F160" s="161"/>
      <c r="G160" s="161"/>
      <c r="H160" s="39">
        <f aca="true" t="shared" si="56" ref="H160:T160">H161</f>
        <v>10000</v>
      </c>
      <c r="I160" s="39">
        <f t="shared" si="56"/>
        <v>0</v>
      </c>
      <c r="J160" s="39">
        <f t="shared" si="56"/>
        <v>0</v>
      </c>
      <c r="K160" s="39">
        <f t="shared" si="56"/>
        <v>0</v>
      </c>
      <c r="L160" s="39">
        <f t="shared" si="56"/>
        <v>0</v>
      </c>
      <c r="M160" s="39">
        <f t="shared" si="56"/>
        <v>0</v>
      </c>
      <c r="N160" s="39">
        <f t="shared" si="56"/>
        <v>0</v>
      </c>
      <c r="O160" s="39">
        <f t="shared" si="56"/>
        <v>0</v>
      </c>
      <c r="P160" s="39">
        <f t="shared" si="56"/>
        <v>0</v>
      </c>
      <c r="Q160" s="39">
        <f t="shared" si="56"/>
        <v>0</v>
      </c>
      <c r="R160" s="39">
        <f t="shared" si="56"/>
        <v>0</v>
      </c>
      <c r="S160" s="39">
        <f t="shared" si="56"/>
        <v>0</v>
      </c>
      <c r="T160" s="39">
        <f t="shared" si="56"/>
        <v>10000</v>
      </c>
      <c r="U160" s="24">
        <f>I160+J160+K160+L160+M160+N160+O160+P160+Q160+R160+S160+T160</f>
        <v>10000</v>
      </c>
      <c r="V160" s="21">
        <f t="shared" si="45"/>
        <v>10000</v>
      </c>
    </row>
    <row r="161" spans="1:22" ht="12.75">
      <c r="A161" s="5" t="s">
        <v>42</v>
      </c>
      <c r="B161" s="72" t="s">
        <v>16</v>
      </c>
      <c r="C161" s="170" t="s">
        <v>23</v>
      </c>
      <c r="D161" s="171">
        <v>6310110170</v>
      </c>
      <c r="E161" s="171">
        <v>244</v>
      </c>
      <c r="F161" s="171">
        <v>290</v>
      </c>
      <c r="G161" s="171"/>
      <c r="H161" s="52">
        <v>10000</v>
      </c>
      <c r="I161" s="18">
        <v>0</v>
      </c>
      <c r="J161" s="18">
        <v>0</v>
      </c>
      <c r="K161" s="18">
        <v>0</v>
      </c>
      <c r="L161" s="18">
        <v>0</v>
      </c>
      <c r="M161" s="18">
        <v>0</v>
      </c>
      <c r="N161" s="18">
        <v>0</v>
      </c>
      <c r="O161" s="18">
        <v>0</v>
      </c>
      <c r="P161" s="18">
        <v>0</v>
      </c>
      <c r="Q161" s="18">
        <v>0</v>
      </c>
      <c r="R161" s="18">
        <v>0</v>
      </c>
      <c r="S161" s="18">
        <v>0</v>
      </c>
      <c r="T161" s="18">
        <v>10000</v>
      </c>
      <c r="U161" s="24">
        <f>I161+J161+K161+L161+M161+N161+O161+P161+Q161+R161+S161+T161</f>
        <v>10000</v>
      </c>
      <c r="V161" s="21">
        <f t="shared" si="45"/>
        <v>10000</v>
      </c>
    </row>
    <row r="162" spans="1:22" ht="12.75" hidden="1">
      <c r="A162" s="5"/>
      <c r="B162" s="72"/>
      <c r="C162" s="128"/>
      <c r="D162" s="127"/>
      <c r="E162" s="127"/>
      <c r="F162" s="127"/>
      <c r="G162" s="50"/>
      <c r="H162" s="7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24"/>
      <c r="V162" s="21">
        <f t="shared" si="45"/>
        <v>0</v>
      </c>
    </row>
    <row r="163" spans="1:22" ht="88.5" customHeight="1" hidden="1">
      <c r="A163" s="5" t="s">
        <v>42</v>
      </c>
      <c r="B163" s="35" t="s">
        <v>105</v>
      </c>
      <c r="C163" s="116" t="s">
        <v>23</v>
      </c>
      <c r="D163" s="117">
        <v>6400000000</v>
      </c>
      <c r="E163" s="117"/>
      <c r="F163" s="117"/>
      <c r="G163" s="37"/>
      <c r="H163" s="39">
        <f aca="true" t="shared" si="57" ref="H163:T163">H165</f>
        <v>0</v>
      </c>
      <c r="I163" s="39">
        <f t="shared" si="57"/>
        <v>0</v>
      </c>
      <c r="J163" s="39">
        <f t="shared" si="57"/>
        <v>0</v>
      </c>
      <c r="K163" s="39">
        <f t="shared" si="57"/>
        <v>0</v>
      </c>
      <c r="L163" s="39">
        <f t="shared" si="57"/>
        <v>0</v>
      </c>
      <c r="M163" s="39">
        <f t="shared" si="57"/>
        <v>0</v>
      </c>
      <c r="N163" s="39">
        <f t="shared" si="57"/>
        <v>0</v>
      </c>
      <c r="O163" s="39">
        <f t="shared" si="57"/>
        <v>0</v>
      </c>
      <c r="P163" s="39">
        <f t="shared" si="57"/>
        <v>0</v>
      </c>
      <c r="Q163" s="39">
        <f t="shared" si="57"/>
        <v>0</v>
      </c>
      <c r="R163" s="39">
        <f t="shared" si="57"/>
        <v>0</v>
      </c>
      <c r="S163" s="39">
        <f t="shared" si="57"/>
        <v>0</v>
      </c>
      <c r="T163" s="39">
        <f t="shared" si="57"/>
        <v>0</v>
      </c>
      <c r="U163" s="24">
        <f>I163+J163+K163+L163+M163+N163+O163+P163+Q163+R163+S163+T163</f>
        <v>0</v>
      </c>
      <c r="V163" s="21">
        <f t="shared" si="45"/>
        <v>0</v>
      </c>
    </row>
    <row r="164" spans="1:22" ht="12.75" hidden="1">
      <c r="A164" s="5"/>
      <c r="B164" s="76"/>
      <c r="C164" s="136"/>
      <c r="D164" s="123"/>
      <c r="E164" s="123"/>
      <c r="F164" s="123"/>
      <c r="G164" s="44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24"/>
      <c r="V164" s="21">
        <f t="shared" si="45"/>
        <v>0</v>
      </c>
    </row>
    <row r="165" spans="1:22" ht="120.75" customHeight="1" hidden="1">
      <c r="A165" s="5" t="s">
        <v>42</v>
      </c>
      <c r="B165" s="35" t="s">
        <v>106</v>
      </c>
      <c r="C165" s="116" t="s">
        <v>23</v>
      </c>
      <c r="D165" s="117">
        <v>6410000000</v>
      </c>
      <c r="E165" s="117"/>
      <c r="F165" s="117"/>
      <c r="G165" s="37"/>
      <c r="H165" s="39">
        <f aca="true" t="shared" si="58" ref="H165:T165">H166</f>
        <v>0</v>
      </c>
      <c r="I165" s="39">
        <f t="shared" si="58"/>
        <v>0</v>
      </c>
      <c r="J165" s="39">
        <f t="shared" si="58"/>
        <v>0</v>
      </c>
      <c r="K165" s="39">
        <f t="shared" si="58"/>
        <v>0</v>
      </c>
      <c r="L165" s="39">
        <f t="shared" si="58"/>
        <v>0</v>
      </c>
      <c r="M165" s="39">
        <f t="shared" si="58"/>
        <v>0</v>
      </c>
      <c r="N165" s="39">
        <f t="shared" si="58"/>
        <v>0</v>
      </c>
      <c r="O165" s="39">
        <f t="shared" si="58"/>
        <v>0</v>
      </c>
      <c r="P165" s="39">
        <f t="shared" si="58"/>
        <v>0</v>
      </c>
      <c r="Q165" s="39">
        <f t="shared" si="58"/>
        <v>0</v>
      </c>
      <c r="R165" s="39">
        <f t="shared" si="58"/>
        <v>0</v>
      </c>
      <c r="S165" s="39">
        <f t="shared" si="58"/>
        <v>0</v>
      </c>
      <c r="T165" s="39">
        <f t="shared" si="58"/>
        <v>0</v>
      </c>
      <c r="U165" s="24">
        <f>I165+J165+K165+L165+M165+N165+O165+P165+Q165+R165+S165+T165</f>
        <v>0</v>
      </c>
      <c r="V165" s="21">
        <f t="shared" si="45"/>
        <v>0</v>
      </c>
    </row>
    <row r="166" spans="1:22" ht="12.75" hidden="1">
      <c r="A166" s="5" t="s">
        <v>42</v>
      </c>
      <c r="B166" s="47" t="s">
        <v>15</v>
      </c>
      <c r="C166" s="128" t="s">
        <v>23</v>
      </c>
      <c r="D166" s="127">
        <v>6410110180</v>
      </c>
      <c r="E166" s="127">
        <v>244</v>
      </c>
      <c r="F166" s="127">
        <v>226</v>
      </c>
      <c r="G166" s="50"/>
      <c r="H166" s="52">
        <v>0</v>
      </c>
      <c r="I166" s="78">
        <v>0</v>
      </c>
      <c r="J166" s="78">
        <v>0</v>
      </c>
      <c r="K166" s="78">
        <v>0</v>
      </c>
      <c r="L166" s="78">
        <v>0</v>
      </c>
      <c r="M166" s="78">
        <v>0</v>
      </c>
      <c r="N166" s="78">
        <v>0</v>
      </c>
      <c r="O166" s="78">
        <v>0</v>
      </c>
      <c r="P166" s="78">
        <v>0</v>
      </c>
      <c r="Q166" s="78">
        <v>0</v>
      </c>
      <c r="R166" s="78">
        <v>0</v>
      </c>
      <c r="S166" s="78">
        <v>0</v>
      </c>
      <c r="T166" s="78">
        <v>0</v>
      </c>
      <c r="U166" s="24">
        <f>I166+J166+K166+L166+M166+N166+O166+P166+Q166+R166+S166+T166</f>
        <v>0</v>
      </c>
      <c r="V166" s="21">
        <f t="shared" si="45"/>
        <v>0</v>
      </c>
    </row>
    <row r="167" spans="1:22" ht="12.75">
      <c r="A167" s="5"/>
      <c r="B167" s="76"/>
      <c r="C167" s="136"/>
      <c r="D167" s="123"/>
      <c r="E167" s="123"/>
      <c r="F167" s="123"/>
      <c r="G167" s="44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24"/>
      <c r="V167" s="21">
        <f t="shared" si="45"/>
        <v>0</v>
      </c>
    </row>
    <row r="168" spans="1:22" ht="12.75">
      <c r="A168" s="5"/>
      <c r="B168" s="29" t="s">
        <v>53</v>
      </c>
      <c r="C168" s="180" t="s">
        <v>23</v>
      </c>
      <c r="D168" s="123"/>
      <c r="E168" s="123"/>
      <c r="F168" s="123"/>
      <c r="G168" s="44"/>
      <c r="H168" s="74">
        <f aca="true" t="shared" si="59" ref="H168:T168">H160+H157+H165</f>
        <v>60000</v>
      </c>
      <c r="I168" s="75">
        <f t="shared" si="59"/>
        <v>0</v>
      </c>
      <c r="J168" s="75">
        <f t="shared" si="59"/>
        <v>0</v>
      </c>
      <c r="K168" s="75">
        <f t="shared" si="59"/>
        <v>0</v>
      </c>
      <c r="L168" s="75">
        <f t="shared" si="59"/>
        <v>12500</v>
      </c>
      <c r="M168" s="75">
        <f t="shared" si="59"/>
        <v>0</v>
      </c>
      <c r="N168" s="75">
        <f t="shared" si="59"/>
        <v>0</v>
      </c>
      <c r="O168" s="75">
        <f t="shared" si="59"/>
        <v>0</v>
      </c>
      <c r="P168" s="75">
        <f t="shared" si="59"/>
        <v>0</v>
      </c>
      <c r="Q168" s="75">
        <f t="shared" si="59"/>
        <v>0</v>
      </c>
      <c r="R168" s="75">
        <f t="shared" si="59"/>
        <v>12500</v>
      </c>
      <c r="S168" s="75">
        <f t="shared" si="59"/>
        <v>12500</v>
      </c>
      <c r="T168" s="75">
        <f t="shared" si="59"/>
        <v>22500</v>
      </c>
      <c r="U168" s="24">
        <f>I168+J168+K168+L168+M168+N168+O168+P168+Q168+R168+S168+T168</f>
        <v>60000</v>
      </c>
      <c r="V168" s="21">
        <f t="shared" si="45"/>
        <v>60000</v>
      </c>
    </row>
    <row r="169" spans="1:22" ht="12.75">
      <c r="A169" s="5"/>
      <c r="B169" s="71"/>
      <c r="C169" s="123"/>
      <c r="D169" s="123"/>
      <c r="E169" s="123"/>
      <c r="F169" s="123"/>
      <c r="G169" s="44"/>
      <c r="H169" s="77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24"/>
      <c r="V169" s="21">
        <f t="shared" si="45"/>
        <v>0</v>
      </c>
    </row>
    <row r="170" spans="1:22" ht="12.75">
      <c r="A170" s="53"/>
      <c r="B170" s="54" t="s">
        <v>73</v>
      </c>
      <c r="C170" s="139"/>
      <c r="D170" s="139"/>
      <c r="E170" s="139"/>
      <c r="F170" s="139"/>
      <c r="G170" s="79"/>
      <c r="H170" s="80">
        <f aca="true" t="shared" si="60" ref="H170:T170">H168+H155</f>
        <v>8007220.72</v>
      </c>
      <c r="I170" s="80">
        <f t="shared" si="60"/>
        <v>80000</v>
      </c>
      <c r="J170" s="80">
        <f t="shared" si="60"/>
        <v>20000</v>
      </c>
      <c r="K170" s="80">
        <f t="shared" si="60"/>
        <v>35000</v>
      </c>
      <c r="L170" s="80">
        <f t="shared" si="60"/>
        <v>292550</v>
      </c>
      <c r="M170" s="80">
        <f t="shared" si="60"/>
        <v>111375</v>
      </c>
      <c r="N170" s="80">
        <f t="shared" si="60"/>
        <v>0</v>
      </c>
      <c r="O170" s="80">
        <f t="shared" si="60"/>
        <v>362020.72</v>
      </c>
      <c r="P170" s="80">
        <f t="shared" si="60"/>
        <v>864960</v>
      </c>
      <c r="Q170" s="80">
        <f t="shared" si="60"/>
        <v>200000</v>
      </c>
      <c r="R170" s="80">
        <f t="shared" si="60"/>
        <v>1389275</v>
      </c>
      <c r="S170" s="80">
        <f t="shared" si="60"/>
        <v>1965915</v>
      </c>
      <c r="T170" s="80">
        <f t="shared" si="60"/>
        <v>2686125</v>
      </c>
      <c r="U170" s="24">
        <f>I170+J170+K170+L170+M170+N170+O170+P170+Q170+R170+S170+T170</f>
        <v>8007220.72</v>
      </c>
      <c r="V170" s="199">
        <f t="shared" si="45"/>
        <v>8007220.72</v>
      </c>
    </row>
    <row r="171" spans="1:22" ht="12.75">
      <c r="A171" s="42"/>
      <c r="B171" s="66"/>
      <c r="C171" s="123"/>
      <c r="D171" s="123"/>
      <c r="E171" s="123"/>
      <c r="F171" s="123"/>
      <c r="G171" s="44"/>
      <c r="H171" s="81"/>
      <c r="I171" s="81"/>
      <c r="J171" s="81"/>
      <c r="K171" s="81"/>
      <c r="L171" s="81"/>
      <c r="M171" s="81"/>
      <c r="N171" s="81"/>
      <c r="O171" s="81"/>
      <c r="P171" s="81"/>
      <c r="Q171" s="81"/>
      <c r="R171" s="81"/>
      <c r="S171" s="81"/>
      <c r="T171" s="81"/>
      <c r="U171" s="24"/>
      <c r="V171" s="21">
        <f t="shared" si="45"/>
        <v>0</v>
      </c>
    </row>
    <row r="172" spans="1:22" ht="84" customHeight="1">
      <c r="A172" s="5" t="s">
        <v>42</v>
      </c>
      <c r="B172" s="35" t="s">
        <v>138</v>
      </c>
      <c r="C172" s="148" t="s">
        <v>24</v>
      </c>
      <c r="D172" s="161">
        <v>6400000000</v>
      </c>
      <c r="E172" s="117"/>
      <c r="F172" s="117"/>
      <c r="G172" s="37"/>
      <c r="H172" s="39">
        <f>H174+H177+H181+H184+H187+H190</f>
        <v>12699090.73</v>
      </c>
      <c r="I172" s="39">
        <f aca="true" t="shared" si="61" ref="I172:T172">I174+I177+I181+I184+I187+I190</f>
        <v>22207.059999999998</v>
      </c>
      <c r="J172" s="39">
        <f t="shared" si="61"/>
        <v>6400</v>
      </c>
      <c r="K172" s="39">
        <f t="shared" si="61"/>
        <v>6400</v>
      </c>
      <c r="L172" s="39">
        <f t="shared" si="61"/>
        <v>6400</v>
      </c>
      <c r="M172" s="39">
        <f t="shared" si="61"/>
        <v>56400</v>
      </c>
      <c r="N172" s="39">
        <f t="shared" si="61"/>
        <v>30183.67</v>
      </c>
      <c r="O172" s="39">
        <f t="shared" si="61"/>
        <v>16400</v>
      </c>
      <c r="P172" s="39">
        <f t="shared" si="61"/>
        <v>6400</v>
      </c>
      <c r="Q172" s="39">
        <f t="shared" si="61"/>
        <v>6400</v>
      </c>
      <c r="R172" s="39">
        <f t="shared" si="61"/>
        <v>56400</v>
      </c>
      <c r="S172" s="39">
        <f t="shared" si="61"/>
        <v>12478800</v>
      </c>
      <c r="T172" s="39">
        <f t="shared" si="61"/>
        <v>6700</v>
      </c>
      <c r="U172" s="24">
        <f>I172+J172+K172+L172+M172+N172+O172+P172+Q172+R172+S172+T172</f>
        <v>12699090.73</v>
      </c>
      <c r="V172" s="21">
        <f t="shared" si="45"/>
        <v>12699090.73</v>
      </c>
    </row>
    <row r="173" spans="1:22" ht="13.5" customHeight="1">
      <c r="A173" s="5"/>
      <c r="B173" s="43"/>
      <c r="C173" s="122"/>
      <c r="D173" s="123"/>
      <c r="E173" s="123"/>
      <c r="F173" s="123"/>
      <c r="G173" s="44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24"/>
      <c r="V173" s="21">
        <f t="shared" si="45"/>
        <v>0</v>
      </c>
    </row>
    <row r="174" spans="1:22" ht="120" customHeight="1">
      <c r="A174" s="5" t="s">
        <v>42</v>
      </c>
      <c r="B174" s="35" t="s">
        <v>137</v>
      </c>
      <c r="C174" s="148" t="s">
        <v>24</v>
      </c>
      <c r="D174" s="161">
        <v>6410000000</v>
      </c>
      <c r="E174" s="166"/>
      <c r="F174" s="166"/>
      <c r="G174" s="37"/>
      <c r="H174" s="39">
        <f>H175</f>
        <v>10000</v>
      </c>
      <c r="I174" s="39">
        <f aca="true" t="shared" si="62" ref="I174:T174">I175</f>
        <v>0</v>
      </c>
      <c r="J174" s="39">
        <f t="shared" si="62"/>
        <v>0</v>
      </c>
      <c r="K174" s="39">
        <f t="shared" si="62"/>
        <v>0</v>
      </c>
      <c r="L174" s="39">
        <f t="shared" si="62"/>
        <v>0</v>
      </c>
      <c r="M174" s="39">
        <f t="shared" si="62"/>
        <v>0</v>
      </c>
      <c r="N174" s="39">
        <f t="shared" si="62"/>
        <v>0</v>
      </c>
      <c r="O174" s="39">
        <f t="shared" si="62"/>
        <v>10000</v>
      </c>
      <c r="P174" s="39">
        <f t="shared" si="62"/>
        <v>0</v>
      </c>
      <c r="Q174" s="39">
        <f t="shared" si="62"/>
        <v>0</v>
      </c>
      <c r="R174" s="39">
        <f t="shared" si="62"/>
        <v>0</v>
      </c>
      <c r="S174" s="39">
        <f t="shared" si="62"/>
        <v>0</v>
      </c>
      <c r="T174" s="39">
        <f t="shared" si="62"/>
        <v>0</v>
      </c>
      <c r="U174" s="24">
        <f>I174+J174+K174+L174+M174+N174+O174+P174+Q174+R174+S174+T174</f>
        <v>10000</v>
      </c>
      <c r="V174" s="21">
        <f t="shared" si="45"/>
        <v>10000</v>
      </c>
    </row>
    <row r="175" spans="1:22" ht="21" customHeight="1">
      <c r="A175" s="5" t="s">
        <v>42</v>
      </c>
      <c r="B175" s="47" t="s">
        <v>15</v>
      </c>
      <c r="C175" s="170" t="s">
        <v>24</v>
      </c>
      <c r="D175" s="171">
        <v>6410110180</v>
      </c>
      <c r="E175" s="171">
        <v>414</v>
      </c>
      <c r="F175" s="171">
        <v>226</v>
      </c>
      <c r="G175" s="50"/>
      <c r="H175" s="52">
        <v>10000</v>
      </c>
      <c r="I175" s="78">
        <v>0</v>
      </c>
      <c r="J175" s="78">
        <v>0</v>
      </c>
      <c r="K175" s="78">
        <v>0</v>
      </c>
      <c r="L175" s="78">
        <v>0</v>
      </c>
      <c r="M175" s="78">
        <v>0</v>
      </c>
      <c r="N175" s="78">
        <v>0</v>
      </c>
      <c r="O175" s="78">
        <v>10000</v>
      </c>
      <c r="P175" s="78">
        <v>0</v>
      </c>
      <c r="Q175" s="78">
        <v>0</v>
      </c>
      <c r="R175" s="78">
        <v>0</v>
      </c>
      <c r="S175" s="78">
        <v>0</v>
      </c>
      <c r="T175" s="78">
        <v>0</v>
      </c>
      <c r="U175" s="24">
        <f>I175+J175+K175+L175+M175+N175+O175+P175+Q175+R175+S175+T175</f>
        <v>10000</v>
      </c>
      <c r="V175" s="21">
        <f t="shared" si="45"/>
        <v>10000</v>
      </c>
    </row>
    <row r="176" spans="1:22" ht="14.25" customHeight="1">
      <c r="A176" s="5"/>
      <c r="B176" s="71"/>
      <c r="C176" s="122"/>
      <c r="D176" s="123"/>
      <c r="E176" s="123"/>
      <c r="F176" s="123"/>
      <c r="G176" s="44"/>
      <c r="H176" s="77"/>
      <c r="I176" s="77"/>
      <c r="J176" s="77"/>
      <c r="K176" s="77"/>
      <c r="L176" s="77"/>
      <c r="M176" s="77"/>
      <c r="N176" s="77"/>
      <c r="O176" s="77"/>
      <c r="P176" s="77"/>
      <c r="Q176" s="77"/>
      <c r="R176" s="77"/>
      <c r="S176" s="77"/>
      <c r="T176" s="77"/>
      <c r="U176" s="24"/>
      <c r="V176" s="21">
        <f t="shared" si="45"/>
        <v>0</v>
      </c>
    </row>
    <row r="177" spans="1:22" ht="69.75" customHeight="1">
      <c r="A177" s="5" t="s">
        <v>42</v>
      </c>
      <c r="B177" s="35" t="s">
        <v>139</v>
      </c>
      <c r="C177" s="148" t="s">
        <v>24</v>
      </c>
      <c r="D177" s="161">
        <v>6420000000</v>
      </c>
      <c r="E177" s="161"/>
      <c r="F177" s="161"/>
      <c r="G177" s="37"/>
      <c r="H177" s="39">
        <f>H178+H179</f>
        <v>127100</v>
      </c>
      <c r="I177" s="39">
        <f aca="true" t="shared" si="63" ref="I177:T177">I178+I179</f>
        <v>7616.33</v>
      </c>
      <c r="J177" s="39">
        <f t="shared" si="63"/>
        <v>6400</v>
      </c>
      <c r="K177" s="39">
        <f t="shared" si="63"/>
        <v>6400</v>
      </c>
      <c r="L177" s="39">
        <f t="shared" si="63"/>
        <v>6400</v>
      </c>
      <c r="M177" s="39">
        <f t="shared" si="63"/>
        <v>6400</v>
      </c>
      <c r="N177" s="39">
        <f t="shared" si="63"/>
        <v>30183.67</v>
      </c>
      <c r="O177" s="39">
        <f t="shared" si="63"/>
        <v>6400</v>
      </c>
      <c r="P177" s="39">
        <f t="shared" si="63"/>
        <v>6400</v>
      </c>
      <c r="Q177" s="39">
        <f t="shared" si="63"/>
        <v>6400</v>
      </c>
      <c r="R177" s="39">
        <f t="shared" si="63"/>
        <v>6400</v>
      </c>
      <c r="S177" s="39">
        <f t="shared" si="63"/>
        <v>31400</v>
      </c>
      <c r="T177" s="39">
        <f t="shared" si="63"/>
        <v>6700</v>
      </c>
      <c r="U177" s="24">
        <f aca="true" t="shared" si="64" ref="U177:U188">I177+J177+K177+L177+M177+N177+O177+P177+Q177+R177+S177+T177</f>
        <v>127100</v>
      </c>
      <c r="V177" s="21">
        <f t="shared" si="45"/>
        <v>127100</v>
      </c>
    </row>
    <row r="178" spans="1:22" ht="25.5">
      <c r="A178" s="5" t="s">
        <v>42</v>
      </c>
      <c r="B178" s="72" t="s">
        <v>71</v>
      </c>
      <c r="C178" s="170" t="s">
        <v>24</v>
      </c>
      <c r="D178" s="171">
        <v>6420110150</v>
      </c>
      <c r="E178" s="171">
        <v>244</v>
      </c>
      <c r="F178" s="171">
        <v>225</v>
      </c>
      <c r="G178" s="50"/>
      <c r="H178" s="78">
        <f>77100+1216.33</f>
        <v>78316.33</v>
      </c>
      <c r="I178" s="78">
        <f>6400+1216.33</f>
        <v>7616.33</v>
      </c>
      <c r="J178" s="78">
        <v>6400</v>
      </c>
      <c r="K178" s="78">
        <v>6400</v>
      </c>
      <c r="L178" s="78">
        <v>6400</v>
      </c>
      <c r="M178" s="78">
        <v>6400</v>
      </c>
      <c r="N178" s="78">
        <v>6400</v>
      </c>
      <c r="O178" s="78">
        <v>6400</v>
      </c>
      <c r="P178" s="78">
        <v>6400</v>
      </c>
      <c r="Q178" s="78">
        <v>6400</v>
      </c>
      <c r="R178" s="78">
        <v>6400</v>
      </c>
      <c r="S178" s="78">
        <v>6400</v>
      </c>
      <c r="T178" s="78">
        <v>6700</v>
      </c>
      <c r="U178" s="24">
        <f t="shared" si="64"/>
        <v>78316.33</v>
      </c>
      <c r="V178" s="21">
        <f t="shared" si="45"/>
        <v>78316.33</v>
      </c>
    </row>
    <row r="179" spans="1:22" ht="17.25" customHeight="1">
      <c r="A179" s="5" t="s">
        <v>42</v>
      </c>
      <c r="B179" s="47" t="s">
        <v>15</v>
      </c>
      <c r="C179" s="170" t="s">
        <v>24</v>
      </c>
      <c r="D179" s="171">
        <v>6420110150</v>
      </c>
      <c r="E179" s="171">
        <v>414</v>
      </c>
      <c r="F179" s="171">
        <v>226</v>
      </c>
      <c r="G179" s="50"/>
      <c r="H179" s="78">
        <f>50000-1216.33</f>
        <v>48783.67</v>
      </c>
      <c r="I179" s="78">
        <v>0</v>
      </c>
      <c r="J179" s="77">
        <v>0</v>
      </c>
      <c r="K179" s="78">
        <v>0</v>
      </c>
      <c r="L179" s="78">
        <v>0</v>
      </c>
      <c r="M179" s="78">
        <v>0</v>
      </c>
      <c r="N179" s="78">
        <f>25000-1216.33</f>
        <v>23783.67</v>
      </c>
      <c r="O179" s="78">
        <v>0</v>
      </c>
      <c r="P179" s="78">
        <v>0</v>
      </c>
      <c r="Q179" s="78">
        <v>0</v>
      </c>
      <c r="R179" s="78">
        <v>0</v>
      </c>
      <c r="S179" s="78">
        <v>25000</v>
      </c>
      <c r="T179" s="78">
        <v>0</v>
      </c>
      <c r="U179" s="24">
        <f t="shared" si="64"/>
        <v>48783.67</v>
      </c>
      <c r="V179" s="21">
        <f t="shared" si="45"/>
        <v>48783.67</v>
      </c>
    </row>
    <row r="180" spans="1:22" ht="12.75">
      <c r="A180" s="42"/>
      <c r="B180" s="66"/>
      <c r="C180" s="123"/>
      <c r="D180" s="123"/>
      <c r="E180" s="123"/>
      <c r="F180" s="123"/>
      <c r="G180" s="44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24">
        <f t="shared" si="64"/>
        <v>0</v>
      </c>
      <c r="V180" s="21">
        <f t="shared" si="45"/>
        <v>0</v>
      </c>
    </row>
    <row r="181" spans="1:22" ht="73.5" customHeight="1">
      <c r="A181" s="5" t="s">
        <v>42</v>
      </c>
      <c r="B181" s="35" t="s">
        <v>140</v>
      </c>
      <c r="C181" s="148" t="s">
        <v>24</v>
      </c>
      <c r="D181" s="161">
        <v>6430000000</v>
      </c>
      <c r="E181" s="161"/>
      <c r="F181" s="161"/>
      <c r="G181" s="37"/>
      <c r="H181" s="39">
        <f aca="true" t="shared" si="65" ref="H181:T181">H182</f>
        <v>30000</v>
      </c>
      <c r="I181" s="39">
        <f t="shared" si="65"/>
        <v>0</v>
      </c>
      <c r="J181" s="39">
        <f t="shared" si="65"/>
        <v>0</v>
      </c>
      <c r="K181" s="39">
        <f t="shared" si="65"/>
        <v>0</v>
      </c>
      <c r="L181" s="39">
        <f t="shared" si="65"/>
        <v>0</v>
      </c>
      <c r="M181" s="39">
        <f t="shared" si="65"/>
        <v>0</v>
      </c>
      <c r="N181" s="39">
        <f t="shared" si="65"/>
        <v>0</v>
      </c>
      <c r="O181" s="39">
        <f t="shared" si="65"/>
        <v>0</v>
      </c>
      <c r="P181" s="39">
        <f t="shared" si="65"/>
        <v>0</v>
      </c>
      <c r="Q181" s="39">
        <f t="shared" si="65"/>
        <v>0</v>
      </c>
      <c r="R181" s="39">
        <f t="shared" si="65"/>
        <v>0</v>
      </c>
      <c r="S181" s="39">
        <f t="shared" si="65"/>
        <v>30000</v>
      </c>
      <c r="T181" s="39">
        <f t="shared" si="65"/>
        <v>0</v>
      </c>
      <c r="U181" s="24">
        <f t="shared" si="64"/>
        <v>30000</v>
      </c>
      <c r="V181" s="21">
        <f t="shared" si="45"/>
        <v>30000</v>
      </c>
    </row>
    <row r="182" spans="1:22" ht="25.5">
      <c r="A182" s="5" t="s">
        <v>42</v>
      </c>
      <c r="B182" s="72" t="s">
        <v>71</v>
      </c>
      <c r="C182" s="170" t="s">
        <v>24</v>
      </c>
      <c r="D182" s="171">
        <v>6430110200</v>
      </c>
      <c r="E182" s="171">
        <v>244</v>
      </c>
      <c r="F182" s="171">
        <v>225</v>
      </c>
      <c r="G182" s="44"/>
      <c r="H182" s="78">
        <v>30000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8">
        <v>0</v>
      </c>
      <c r="S182" s="78">
        <v>30000</v>
      </c>
      <c r="T182" s="78">
        <v>0</v>
      </c>
      <c r="U182" s="24">
        <f t="shared" si="64"/>
        <v>30000</v>
      </c>
      <c r="V182" s="21">
        <f t="shared" si="45"/>
        <v>30000</v>
      </c>
    </row>
    <row r="183" spans="1:22" ht="12.75">
      <c r="A183" s="42"/>
      <c r="B183" s="66"/>
      <c r="C183" s="123"/>
      <c r="D183" s="123"/>
      <c r="E183" s="123"/>
      <c r="F183" s="123"/>
      <c r="G183" s="44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24">
        <f t="shared" si="64"/>
        <v>0</v>
      </c>
      <c r="V183" s="21">
        <f t="shared" si="45"/>
        <v>0</v>
      </c>
    </row>
    <row r="184" spans="1:22" ht="69" customHeight="1">
      <c r="A184" s="5" t="s">
        <v>42</v>
      </c>
      <c r="B184" s="35" t="s">
        <v>141</v>
      </c>
      <c r="C184" s="148" t="s">
        <v>24</v>
      </c>
      <c r="D184" s="161">
        <v>6440000000</v>
      </c>
      <c r="E184" s="161"/>
      <c r="F184" s="161"/>
      <c r="G184" s="37"/>
      <c r="H184" s="39">
        <f aca="true" t="shared" si="66" ref="H184:T184">H185</f>
        <v>30000</v>
      </c>
      <c r="I184" s="39">
        <f t="shared" si="66"/>
        <v>0</v>
      </c>
      <c r="J184" s="39">
        <f t="shared" si="66"/>
        <v>0</v>
      </c>
      <c r="K184" s="39">
        <f t="shared" si="66"/>
        <v>0</v>
      </c>
      <c r="L184" s="39">
        <f t="shared" si="66"/>
        <v>0</v>
      </c>
      <c r="M184" s="39">
        <f t="shared" si="66"/>
        <v>0</v>
      </c>
      <c r="N184" s="39">
        <f t="shared" si="66"/>
        <v>0</v>
      </c>
      <c r="O184" s="39">
        <f t="shared" si="66"/>
        <v>0</v>
      </c>
      <c r="P184" s="39">
        <f t="shared" si="66"/>
        <v>0</v>
      </c>
      <c r="Q184" s="39">
        <f t="shared" si="66"/>
        <v>0</v>
      </c>
      <c r="R184" s="39">
        <f t="shared" si="66"/>
        <v>0</v>
      </c>
      <c r="S184" s="39">
        <f t="shared" si="66"/>
        <v>30000</v>
      </c>
      <c r="T184" s="39">
        <f t="shared" si="66"/>
        <v>0</v>
      </c>
      <c r="U184" s="24">
        <f t="shared" si="64"/>
        <v>30000</v>
      </c>
      <c r="V184" s="21">
        <f t="shared" si="45"/>
        <v>30000</v>
      </c>
    </row>
    <row r="185" spans="1:22" ht="25.5">
      <c r="A185" s="5" t="s">
        <v>42</v>
      </c>
      <c r="B185" s="72" t="s">
        <v>71</v>
      </c>
      <c r="C185" s="170" t="s">
        <v>24</v>
      </c>
      <c r="D185" s="171">
        <v>6440110210</v>
      </c>
      <c r="E185" s="171">
        <v>244</v>
      </c>
      <c r="F185" s="171">
        <v>225</v>
      </c>
      <c r="G185" s="44"/>
      <c r="H185" s="78">
        <v>30000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0</v>
      </c>
      <c r="S185" s="78">
        <v>30000</v>
      </c>
      <c r="T185" s="78">
        <v>0</v>
      </c>
      <c r="U185" s="24">
        <f t="shared" si="64"/>
        <v>30000</v>
      </c>
      <c r="V185" s="21">
        <f t="shared" si="45"/>
        <v>30000</v>
      </c>
    </row>
    <row r="186" spans="1:22" ht="15.75" customHeight="1">
      <c r="A186" s="42"/>
      <c r="B186" s="66"/>
      <c r="C186" s="123"/>
      <c r="D186" s="123"/>
      <c r="E186" s="123"/>
      <c r="F186" s="123"/>
      <c r="G186" s="44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24">
        <f t="shared" si="64"/>
        <v>0</v>
      </c>
      <c r="V186" s="21">
        <f t="shared" si="45"/>
        <v>0</v>
      </c>
    </row>
    <row r="187" spans="1:22" ht="165" customHeight="1">
      <c r="A187" s="5" t="s">
        <v>42</v>
      </c>
      <c r="B187" s="35" t="s">
        <v>142</v>
      </c>
      <c r="C187" s="148" t="s">
        <v>24</v>
      </c>
      <c r="D187" s="161">
        <v>6450000000</v>
      </c>
      <c r="E187" s="161"/>
      <c r="F187" s="161"/>
      <c r="G187" s="37"/>
      <c r="H187" s="39">
        <f aca="true" t="shared" si="67" ref="H187:T187">H188</f>
        <v>12337400</v>
      </c>
      <c r="I187" s="39">
        <f t="shared" si="67"/>
        <v>0</v>
      </c>
      <c r="J187" s="39">
        <f t="shared" si="67"/>
        <v>0</v>
      </c>
      <c r="K187" s="39">
        <f t="shared" si="67"/>
        <v>0</v>
      </c>
      <c r="L187" s="39">
        <f t="shared" si="67"/>
        <v>0</v>
      </c>
      <c r="M187" s="39">
        <f t="shared" si="67"/>
        <v>0</v>
      </c>
      <c r="N187" s="39">
        <f t="shared" si="67"/>
        <v>0</v>
      </c>
      <c r="O187" s="39">
        <f t="shared" si="67"/>
        <v>0</v>
      </c>
      <c r="P187" s="39">
        <f t="shared" si="67"/>
        <v>0</v>
      </c>
      <c r="Q187" s="39">
        <f t="shared" si="67"/>
        <v>0</v>
      </c>
      <c r="R187" s="39">
        <f t="shared" si="67"/>
        <v>0</v>
      </c>
      <c r="S187" s="39">
        <f t="shared" si="67"/>
        <v>12337400</v>
      </c>
      <c r="T187" s="39">
        <f t="shared" si="67"/>
        <v>0</v>
      </c>
      <c r="U187" s="24">
        <f t="shared" si="64"/>
        <v>12337400</v>
      </c>
      <c r="V187" s="21">
        <f t="shared" si="45"/>
        <v>12337400</v>
      </c>
    </row>
    <row r="188" spans="1:22" ht="12.75">
      <c r="A188" s="5" t="s">
        <v>42</v>
      </c>
      <c r="B188" s="47" t="s">
        <v>15</v>
      </c>
      <c r="C188" s="170" t="s">
        <v>24</v>
      </c>
      <c r="D188" s="50" t="s">
        <v>169</v>
      </c>
      <c r="E188" s="171">
        <v>414</v>
      </c>
      <c r="F188" s="171">
        <v>226</v>
      </c>
      <c r="G188" s="44"/>
      <c r="H188" s="78">
        <f>863600+100+11473700</f>
        <v>12337400</v>
      </c>
      <c r="I188" s="78">
        <v>0</v>
      </c>
      <c r="J188" s="78">
        <v>0</v>
      </c>
      <c r="K188" s="78">
        <v>0</v>
      </c>
      <c r="L188" s="78">
        <v>0</v>
      </c>
      <c r="M188" s="78">
        <v>0</v>
      </c>
      <c r="N188" s="78">
        <v>0</v>
      </c>
      <c r="O188" s="78">
        <v>0</v>
      </c>
      <c r="P188" s="78">
        <v>0</v>
      </c>
      <c r="Q188" s="78">
        <v>0</v>
      </c>
      <c r="R188" s="78">
        <v>0</v>
      </c>
      <c r="S188" s="78">
        <v>12337400</v>
      </c>
      <c r="T188" s="78">
        <v>0</v>
      </c>
      <c r="U188" s="24">
        <f t="shared" si="64"/>
        <v>12337400</v>
      </c>
      <c r="V188" s="21">
        <f t="shared" si="45"/>
        <v>12337400</v>
      </c>
    </row>
    <row r="189" spans="1:22" ht="12.75">
      <c r="A189" s="42"/>
      <c r="B189" s="66"/>
      <c r="C189" s="123"/>
      <c r="D189" s="123"/>
      <c r="E189" s="123"/>
      <c r="F189" s="123"/>
      <c r="G189" s="44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24"/>
      <c r="V189" s="21">
        <f t="shared" si="45"/>
        <v>0</v>
      </c>
    </row>
    <row r="190" spans="1:22" ht="76.5">
      <c r="A190" s="5" t="s">
        <v>42</v>
      </c>
      <c r="B190" s="35" t="s">
        <v>143</v>
      </c>
      <c r="C190" s="148" t="s">
        <v>24</v>
      </c>
      <c r="D190" s="161">
        <v>6460000000</v>
      </c>
      <c r="E190" s="161"/>
      <c r="F190" s="161"/>
      <c r="G190" s="37"/>
      <c r="H190" s="39">
        <f>H191+H192</f>
        <v>164590.73</v>
      </c>
      <c r="I190" s="39">
        <f>I192</f>
        <v>14590.73</v>
      </c>
      <c r="J190" s="39">
        <f aca="true" t="shared" si="68" ref="J190:T190">J191</f>
        <v>0</v>
      </c>
      <c r="K190" s="39">
        <f t="shared" si="68"/>
        <v>0</v>
      </c>
      <c r="L190" s="39">
        <f t="shared" si="68"/>
        <v>0</v>
      </c>
      <c r="M190" s="39">
        <f t="shared" si="68"/>
        <v>50000</v>
      </c>
      <c r="N190" s="39">
        <f t="shared" si="68"/>
        <v>0</v>
      </c>
      <c r="O190" s="39">
        <f t="shared" si="68"/>
        <v>0</v>
      </c>
      <c r="P190" s="39">
        <f t="shared" si="68"/>
        <v>0</v>
      </c>
      <c r="Q190" s="39">
        <f t="shared" si="68"/>
        <v>0</v>
      </c>
      <c r="R190" s="39">
        <f t="shared" si="68"/>
        <v>50000</v>
      </c>
      <c r="S190" s="39">
        <f t="shared" si="68"/>
        <v>50000</v>
      </c>
      <c r="T190" s="39">
        <f t="shared" si="68"/>
        <v>0</v>
      </c>
      <c r="U190" s="24">
        <f>I190+J190+K190+L190+M190+N190+O190+P190+Q190+R190+S190+T190</f>
        <v>164590.72999999998</v>
      </c>
      <c r="V190" s="21">
        <f t="shared" si="45"/>
        <v>164590.72999999998</v>
      </c>
    </row>
    <row r="191" spans="1:22" ht="12.75">
      <c r="A191" s="5" t="s">
        <v>42</v>
      </c>
      <c r="B191" s="47" t="s">
        <v>15</v>
      </c>
      <c r="C191" s="170" t="s">
        <v>24</v>
      </c>
      <c r="D191" s="171">
        <v>6460110230</v>
      </c>
      <c r="E191" s="171">
        <v>414</v>
      </c>
      <c r="F191" s="171">
        <v>226</v>
      </c>
      <c r="G191" s="44"/>
      <c r="H191" s="78">
        <f>150000</f>
        <v>150000</v>
      </c>
      <c r="I191" s="78">
        <v>0</v>
      </c>
      <c r="J191" s="78">
        <v>0</v>
      </c>
      <c r="K191" s="78">
        <v>0</v>
      </c>
      <c r="L191" s="78">
        <v>0</v>
      </c>
      <c r="M191" s="78">
        <v>50000</v>
      </c>
      <c r="N191" s="78">
        <v>0</v>
      </c>
      <c r="O191" s="78">
        <v>0</v>
      </c>
      <c r="P191" s="78">
        <v>0</v>
      </c>
      <c r="Q191" s="78">
        <v>0</v>
      </c>
      <c r="R191" s="78">
        <v>50000</v>
      </c>
      <c r="S191" s="78">
        <v>50000</v>
      </c>
      <c r="T191" s="78">
        <v>0</v>
      </c>
      <c r="U191" s="24">
        <f>I191+J191+K191+L191+M191+N191+O191+P191+Q191+R191+S191+T191</f>
        <v>150000</v>
      </c>
      <c r="V191" s="21">
        <f t="shared" si="45"/>
        <v>150000</v>
      </c>
    </row>
    <row r="192" spans="1:22" ht="12.75">
      <c r="A192" s="42"/>
      <c r="B192" s="66"/>
      <c r="C192" s="123"/>
      <c r="D192" s="123"/>
      <c r="E192" s="50">
        <v>244</v>
      </c>
      <c r="F192" s="50">
        <v>226</v>
      </c>
      <c r="G192" s="50"/>
      <c r="H192" s="78">
        <f>14590.73</f>
        <v>14590.73</v>
      </c>
      <c r="I192" s="78">
        <f>14590.73</f>
        <v>14590.73</v>
      </c>
      <c r="J192" s="81"/>
      <c r="K192" s="81"/>
      <c r="L192" s="81"/>
      <c r="M192" s="81"/>
      <c r="N192" s="81"/>
      <c r="O192" s="81"/>
      <c r="P192" s="81"/>
      <c r="Q192" s="81"/>
      <c r="R192" s="81"/>
      <c r="S192" s="81"/>
      <c r="T192" s="81"/>
      <c r="U192" s="24"/>
      <c r="V192" s="21">
        <f t="shared" si="45"/>
        <v>14590.73</v>
      </c>
    </row>
    <row r="193" spans="1:22" ht="12.75">
      <c r="A193" s="42"/>
      <c r="B193" s="29" t="s">
        <v>53</v>
      </c>
      <c r="C193" s="180" t="s">
        <v>24</v>
      </c>
      <c r="D193" s="123"/>
      <c r="E193" s="123"/>
      <c r="F193" s="123"/>
      <c r="G193" s="44"/>
      <c r="H193" s="74">
        <f aca="true" t="shared" si="69" ref="H193:T193">H172</f>
        <v>12699090.73</v>
      </c>
      <c r="I193" s="75">
        <f t="shared" si="69"/>
        <v>22207.059999999998</v>
      </c>
      <c r="J193" s="75">
        <f t="shared" si="69"/>
        <v>6400</v>
      </c>
      <c r="K193" s="75">
        <f t="shared" si="69"/>
        <v>6400</v>
      </c>
      <c r="L193" s="75">
        <f t="shared" si="69"/>
        <v>6400</v>
      </c>
      <c r="M193" s="75">
        <f t="shared" si="69"/>
        <v>56400</v>
      </c>
      <c r="N193" s="75">
        <f t="shared" si="69"/>
        <v>30183.67</v>
      </c>
      <c r="O193" s="75">
        <f t="shared" si="69"/>
        <v>16400</v>
      </c>
      <c r="P193" s="75">
        <f t="shared" si="69"/>
        <v>6400</v>
      </c>
      <c r="Q193" s="75">
        <f t="shared" si="69"/>
        <v>6400</v>
      </c>
      <c r="R193" s="75">
        <f t="shared" si="69"/>
        <v>56400</v>
      </c>
      <c r="S193" s="75">
        <f t="shared" si="69"/>
        <v>12478800</v>
      </c>
      <c r="T193" s="75">
        <f t="shared" si="69"/>
        <v>6700</v>
      </c>
      <c r="U193" s="24">
        <f>I193+J193+K193+L193+M193+N193+O193+P193+Q193+R193+S193+T193</f>
        <v>12699090.73</v>
      </c>
      <c r="V193" s="21">
        <f t="shared" si="45"/>
        <v>12699090.73</v>
      </c>
    </row>
    <row r="194" spans="1:22" ht="12.75">
      <c r="A194" s="42"/>
      <c r="B194" s="66"/>
      <c r="C194" s="123"/>
      <c r="D194" s="123"/>
      <c r="E194" s="123"/>
      <c r="F194" s="123"/>
      <c r="G194" s="44"/>
      <c r="H194" s="81"/>
      <c r="I194" s="81"/>
      <c r="J194" s="81"/>
      <c r="K194" s="81"/>
      <c r="L194" s="81"/>
      <c r="M194" s="81"/>
      <c r="N194" s="81"/>
      <c r="O194" s="81"/>
      <c r="P194" s="81"/>
      <c r="Q194" s="81"/>
      <c r="R194" s="81"/>
      <c r="S194" s="81"/>
      <c r="T194" s="81"/>
      <c r="U194" s="24"/>
      <c r="V194" s="21">
        <f t="shared" si="45"/>
        <v>0</v>
      </c>
    </row>
    <row r="195" spans="1:22" ht="83.25" customHeight="1">
      <c r="A195" s="5" t="s">
        <v>42</v>
      </c>
      <c r="B195" s="35" t="s">
        <v>138</v>
      </c>
      <c r="C195" s="148" t="s">
        <v>25</v>
      </c>
      <c r="D195" s="161">
        <v>6400000000</v>
      </c>
      <c r="E195" s="117"/>
      <c r="F195" s="117"/>
      <c r="G195" s="37"/>
      <c r="H195" s="39">
        <f>H197+H203</f>
        <v>1605500</v>
      </c>
      <c r="I195" s="39">
        <f aca="true" t="shared" si="70" ref="I195:T195">I197+I203</f>
        <v>45550</v>
      </c>
      <c r="J195" s="39">
        <f t="shared" si="70"/>
        <v>49700</v>
      </c>
      <c r="K195" s="39">
        <f t="shared" si="70"/>
        <v>80000</v>
      </c>
      <c r="L195" s="39">
        <f t="shared" si="70"/>
        <v>139000</v>
      </c>
      <c r="M195" s="39">
        <f t="shared" si="70"/>
        <v>80000</v>
      </c>
      <c r="N195" s="39">
        <f t="shared" si="70"/>
        <v>81250</v>
      </c>
      <c r="O195" s="39">
        <f t="shared" si="70"/>
        <v>95000</v>
      </c>
      <c r="P195" s="39">
        <f t="shared" si="70"/>
        <v>125000</v>
      </c>
      <c r="Q195" s="39">
        <f t="shared" si="70"/>
        <v>110000</v>
      </c>
      <c r="R195" s="39">
        <f t="shared" si="70"/>
        <v>200000</v>
      </c>
      <c r="S195" s="39">
        <f t="shared" si="70"/>
        <v>250000</v>
      </c>
      <c r="T195" s="39">
        <f t="shared" si="70"/>
        <v>350000</v>
      </c>
      <c r="U195" s="24">
        <f>I195+J195+K195+L195+M195+N195+O195+P195+Q195+R195+S195+T195</f>
        <v>1605500</v>
      </c>
      <c r="V195" s="21">
        <f t="shared" si="45"/>
        <v>1605500</v>
      </c>
    </row>
    <row r="196" spans="1:22" ht="12.75">
      <c r="A196" s="42"/>
      <c r="B196" s="66"/>
      <c r="C196" s="123"/>
      <c r="D196" s="123"/>
      <c r="E196" s="123"/>
      <c r="F196" s="123"/>
      <c r="G196" s="44"/>
      <c r="H196" s="81"/>
      <c r="I196" s="81"/>
      <c r="J196" s="81"/>
      <c r="K196" s="81"/>
      <c r="L196" s="81"/>
      <c r="M196" s="81"/>
      <c r="N196" s="81"/>
      <c r="O196" s="81"/>
      <c r="P196" s="81"/>
      <c r="Q196" s="81"/>
      <c r="R196" s="81"/>
      <c r="S196" s="81"/>
      <c r="T196" s="81"/>
      <c r="U196" s="24"/>
      <c r="V196" s="21">
        <f t="shared" si="45"/>
        <v>0</v>
      </c>
    </row>
    <row r="197" spans="1:22" ht="75" customHeight="1">
      <c r="A197" s="5" t="s">
        <v>42</v>
      </c>
      <c r="B197" s="35" t="s">
        <v>144</v>
      </c>
      <c r="C197" s="148" t="s">
        <v>25</v>
      </c>
      <c r="D197" s="161">
        <v>6470000000</v>
      </c>
      <c r="E197" s="161"/>
      <c r="F197" s="161"/>
      <c r="G197" s="37"/>
      <c r="H197" s="39">
        <f>H198+H199+H200+H201</f>
        <v>1305500</v>
      </c>
      <c r="I197" s="39">
        <f aca="true" t="shared" si="71" ref="I197:T197">I198+I199+I200+I201</f>
        <v>45550</v>
      </c>
      <c r="J197" s="39">
        <f t="shared" si="71"/>
        <v>49700</v>
      </c>
      <c r="K197" s="39">
        <f t="shared" si="71"/>
        <v>80000</v>
      </c>
      <c r="L197" s="39">
        <f t="shared" si="71"/>
        <v>89000</v>
      </c>
      <c r="M197" s="39">
        <f t="shared" si="71"/>
        <v>80000</v>
      </c>
      <c r="N197" s="39">
        <f t="shared" si="71"/>
        <v>81250</v>
      </c>
      <c r="O197" s="39">
        <f t="shared" si="71"/>
        <v>95000</v>
      </c>
      <c r="P197" s="39">
        <f t="shared" si="71"/>
        <v>125000</v>
      </c>
      <c r="Q197" s="39">
        <f t="shared" si="71"/>
        <v>110000</v>
      </c>
      <c r="R197" s="39">
        <f t="shared" si="71"/>
        <v>200000</v>
      </c>
      <c r="S197" s="39">
        <f t="shared" si="71"/>
        <v>150000</v>
      </c>
      <c r="T197" s="39">
        <f t="shared" si="71"/>
        <v>200000</v>
      </c>
      <c r="U197" s="24">
        <f>I197+J197+K197+L197+M197+N197+O197+P197+Q197+R197+S197+T197</f>
        <v>1305500</v>
      </c>
      <c r="V197" s="21">
        <f t="shared" si="45"/>
        <v>1305500</v>
      </c>
    </row>
    <row r="198" spans="1:22" ht="25.5">
      <c r="A198" s="5" t="s">
        <v>42</v>
      </c>
      <c r="B198" s="72" t="s">
        <v>71</v>
      </c>
      <c r="C198" s="170" t="s">
        <v>25</v>
      </c>
      <c r="D198" s="171">
        <v>6470110240</v>
      </c>
      <c r="E198" s="171">
        <v>244</v>
      </c>
      <c r="F198" s="171">
        <v>225</v>
      </c>
      <c r="G198" s="44"/>
      <c r="H198" s="52">
        <v>1305500</v>
      </c>
      <c r="I198" s="78">
        <v>45550</v>
      </c>
      <c r="J198" s="78">
        <v>49700</v>
      </c>
      <c r="K198" s="78">
        <v>80000</v>
      </c>
      <c r="L198" s="78">
        <v>89000</v>
      </c>
      <c r="M198" s="78">
        <v>80000</v>
      </c>
      <c r="N198" s="78">
        <v>81250</v>
      </c>
      <c r="O198" s="78">
        <v>95000</v>
      </c>
      <c r="P198" s="78">
        <v>125000</v>
      </c>
      <c r="Q198" s="78">
        <v>110000</v>
      </c>
      <c r="R198" s="78">
        <v>200000</v>
      </c>
      <c r="S198" s="78">
        <v>150000</v>
      </c>
      <c r="T198" s="78">
        <v>200000</v>
      </c>
      <c r="U198" s="24">
        <f>I198+J198+K198+L198+M198+N198+O198+P198+Q198+R198+S198+T198</f>
        <v>1305500</v>
      </c>
      <c r="V198" s="21">
        <f t="shared" si="45"/>
        <v>1305500</v>
      </c>
    </row>
    <row r="199" spans="1:22" ht="12.75" hidden="1">
      <c r="A199" s="5"/>
      <c r="B199" s="72"/>
      <c r="C199" s="128" t="s">
        <v>25</v>
      </c>
      <c r="D199" s="127">
        <v>6470160020</v>
      </c>
      <c r="E199" s="127">
        <v>244</v>
      </c>
      <c r="F199" s="127">
        <v>225</v>
      </c>
      <c r="G199" s="44"/>
      <c r="H199" s="52">
        <v>0</v>
      </c>
      <c r="I199" s="78">
        <v>0</v>
      </c>
      <c r="J199" s="78">
        <v>0</v>
      </c>
      <c r="K199" s="78">
        <v>0</v>
      </c>
      <c r="L199" s="78">
        <v>0</v>
      </c>
      <c r="M199" s="78">
        <v>0</v>
      </c>
      <c r="N199" s="78">
        <v>0</v>
      </c>
      <c r="O199" s="78">
        <v>0</v>
      </c>
      <c r="P199" s="78">
        <v>0</v>
      </c>
      <c r="Q199" s="78">
        <v>0</v>
      </c>
      <c r="R199" s="78">
        <v>0</v>
      </c>
      <c r="S199" s="78">
        <v>0</v>
      </c>
      <c r="T199" s="78">
        <v>0</v>
      </c>
      <c r="U199" s="24">
        <f aca="true" t="shared" si="72" ref="U199:U221">I199+J199+K199+L199+M199+N199+O199+P199+Q199+R199+S199+T199</f>
        <v>0</v>
      </c>
      <c r="V199" s="21">
        <f t="shared" si="45"/>
        <v>0</v>
      </c>
    </row>
    <row r="200" spans="1:22" ht="12.75" hidden="1">
      <c r="A200" s="5"/>
      <c r="B200" s="72"/>
      <c r="C200" s="128" t="s">
        <v>25</v>
      </c>
      <c r="D200" s="127">
        <v>6470160050</v>
      </c>
      <c r="E200" s="127">
        <v>244</v>
      </c>
      <c r="F200" s="127">
        <v>225</v>
      </c>
      <c r="G200" s="44"/>
      <c r="H200" s="52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24">
        <f t="shared" si="72"/>
        <v>0</v>
      </c>
      <c r="V200" s="21">
        <f aca="true" t="shared" si="73" ref="V200:V263">SUM(I200:T200)</f>
        <v>0</v>
      </c>
    </row>
    <row r="201" spans="1:22" ht="12.75" hidden="1">
      <c r="A201" s="5"/>
      <c r="B201" s="72"/>
      <c r="C201" s="128" t="s">
        <v>25</v>
      </c>
      <c r="D201" s="127">
        <v>6470160170</v>
      </c>
      <c r="E201" s="127">
        <v>244</v>
      </c>
      <c r="F201" s="127">
        <v>225</v>
      </c>
      <c r="G201" s="44"/>
      <c r="H201" s="52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  <c r="U201" s="24">
        <f t="shared" si="72"/>
        <v>0</v>
      </c>
      <c r="V201" s="21">
        <f t="shared" si="73"/>
        <v>0</v>
      </c>
    </row>
    <row r="202" spans="1:22" ht="12.75">
      <c r="A202" s="5"/>
      <c r="B202" s="72"/>
      <c r="C202" s="128"/>
      <c r="D202" s="127"/>
      <c r="E202" s="127"/>
      <c r="F202" s="127"/>
      <c r="G202" s="44"/>
      <c r="H202" s="52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24">
        <f t="shared" si="72"/>
        <v>0</v>
      </c>
      <c r="V202" s="21">
        <f t="shared" si="73"/>
        <v>0</v>
      </c>
    </row>
    <row r="203" spans="1:22" ht="80.25" customHeight="1">
      <c r="A203" s="5" t="s">
        <v>42</v>
      </c>
      <c r="B203" s="35" t="s">
        <v>145</v>
      </c>
      <c r="C203" s="148" t="s">
        <v>25</v>
      </c>
      <c r="D203" s="161">
        <v>6480110350</v>
      </c>
      <c r="E203" s="161"/>
      <c r="F203" s="161"/>
      <c r="G203" s="37"/>
      <c r="H203" s="39">
        <f>H204</f>
        <v>300000</v>
      </c>
      <c r="I203" s="39">
        <f aca="true" t="shared" si="74" ref="I203:T203">I204</f>
        <v>0</v>
      </c>
      <c r="J203" s="39">
        <f t="shared" si="74"/>
        <v>0</v>
      </c>
      <c r="K203" s="39">
        <f t="shared" si="74"/>
        <v>0</v>
      </c>
      <c r="L203" s="39">
        <f t="shared" si="74"/>
        <v>50000</v>
      </c>
      <c r="M203" s="39">
        <f t="shared" si="74"/>
        <v>0</v>
      </c>
      <c r="N203" s="39">
        <f t="shared" si="74"/>
        <v>0</v>
      </c>
      <c r="O203" s="39">
        <f t="shared" si="74"/>
        <v>0</v>
      </c>
      <c r="P203" s="39">
        <f t="shared" si="74"/>
        <v>0</v>
      </c>
      <c r="Q203" s="39">
        <f t="shared" si="74"/>
        <v>0</v>
      </c>
      <c r="R203" s="39">
        <f t="shared" si="74"/>
        <v>0</v>
      </c>
      <c r="S203" s="39">
        <f t="shared" si="74"/>
        <v>100000</v>
      </c>
      <c r="T203" s="39">
        <f t="shared" si="74"/>
        <v>150000</v>
      </c>
      <c r="U203" s="24">
        <f t="shared" si="72"/>
        <v>300000</v>
      </c>
      <c r="V203" s="21">
        <f t="shared" si="73"/>
        <v>300000</v>
      </c>
    </row>
    <row r="204" spans="1:22" ht="16.5" customHeight="1">
      <c r="A204" s="5" t="s">
        <v>42</v>
      </c>
      <c r="B204" s="47" t="s">
        <v>15</v>
      </c>
      <c r="C204" s="170" t="s">
        <v>25</v>
      </c>
      <c r="D204" s="171">
        <v>6480110350</v>
      </c>
      <c r="E204" s="171">
        <v>244</v>
      </c>
      <c r="F204" s="171">
        <v>225</v>
      </c>
      <c r="G204" s="44"/>
      <c r="H204" s="78">
        <v>300000</v>
      </c>
      <c r="I204" s="78">
        <v>0</v>
      </c>
      <c r="J204" s="78">
        <v>0</v>
      </c>
      <c r="K204" s="78">
        <v>0</v>
      </c>
      <c r="L204" s="78">
        <v>50000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100000</v>
      </c>
      <c r="T204" s="78">
        <v>150000</v>
      </c>
      <c r="U204" s="24">
        <f t="shared" si="72"/>
        <v>300000</v>
      </c>
      <c r="V204" s="21">
        <f t="shared" si="73"/>
        <v>300000</v>
      </c>
    </row>
    <row r="205" spans="1:22" ht="12.75">
      <c r="A205" s="5"/>
      <c r="B205" s="68"/>
      <c r="C205" s="128"/>
      <c r="D205" s="127"/>
      <c r="E205" s="127"/>
      <c r="F205" s="127"/>
      <c r="G205" s="44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24">
        <f t="shared" si="72"/>
        <v>0</v>
      </c>
      <c r="V205" s="21">
        <f t="shared" si="73"/>
        <v>0</v>
      </c>
    </row>
    <row r="206" spans="1:22" ht="81" customHeight="1">
      <c r="A206" s="42" t="s">
        <v>42</v>
      </c>
      <c r="B206" s="35" t="s">
        <v>146</v>
      </c>
      <c r="C206" s="148" t="s">
        <v>25</v>
      </c>
      <c r="D206" s="161">
        <v>6700110360</v>
      </c>
      <c r="E206" s="161"/>
      <c r="F206" s="161"/>
      <c r="G206" s="37"/>
      <c r="H206" s="39">
        <f>H207</f>
        <v>30000</v>
      </c>
      <c r="I206" s="39">
        <f aca="true" t="shared" si="75" ref="I206:T206">I207</f>
        <v>0</v>
      </c>
      <c r="J206" s="39">
        <f t="shared" si="75"/>
        <v>0</v>
      </c>
      <c r="K206" s="39">
        <f t="shared" si="75"/>
        <v>0</v>
      </c>
      <c r="L206" s="39">
        <f t="shared" si="75"/>
        <v>0</v>
      </c>
      <c r="M206" s="39">
        <f t="shared" si="75"/>
        <v>0</v>
      </c>
      <c r="N206" s="39">
        <f t="shared" si="75"/>
        <v>0</v>
      </c>
      <c r="O206" s="39">
        <f t="shared" si="75"/>
        <v>0</v>
      </c>
      <c r="P206" s="39">
        <f t="shared" si="75"/>
        <v>0</v>
      </c>
      <c r="Q206" s="39">
        <f t="shared" si="75"/>
        <v>0</v>
      </c>
      <c r="R206" s="39">
        <f t="shared" si="75"/>
        <v>0</v>
      </c>
      <c r="S206" s="39">
        <f t="shared" si="75"/>
        <v>0</v>
      </c>
      <c r="T206" s="39">
        <f t="shared" si="75"/>
        <v>30000</v>
      </c>
      <c r="U206" s="24">
        <f t="shared" si="72"/>
        <v>30000</v>
      </c>
      <c r="V206" s="21">
        <f t="shared" si="73"/>
        <v>30000</v>
      </c>
    </row>
    <row r="207" spans="1:22" ht="12.75">
      <c r="A207" s="5" t="s">
        <v>42</v>
      </c>
      <c r="B207" s="47" t="s">
        <v>15</v>
      </c>
      <c r="C207" s="170" t="s">
        <v>25</v>
      </c>
      <c r="D207" s="171">
        <v>6700110360</v>
      </c>
      <c r="E207" s="171">
        <v>244</v>
      </c>
      <c r="F207" s="171">
        <v>226</v>
      </c>
      <c r="G207" s="44"/>
      <c r="H207" s="78">
        <v>30000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30000</v>
      </c>
      <c r="U207" s="24">
        <f t="shared" si="72"/>
        <v>30000</v>
      </c>
      <c r="V207" s="21">
        <f t="shared" si="73"/>
        <v>30000</v>
      </c>
    </row>
    <row r="208" spans="1:22" ht="12.75">
      <c r="A208" s="5"/>
      <c r="B208" s="68"/>
      <c r="C208" s="128"/>
      <c r="D208" s="127"/>
      <c r="E208" s="127"/>
      <c r="F208" s="127"/>
      <c r="G208" s="44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24">
        <f t="shared" si="72"/>
        <v>0</v>
      </c>
      <c r="V208" s="21">
        <f t="shared" si="73"/>
        <v>0</v>
      </c>
    </row>
    <row r="209" spans="1:22" ht="76.5">
      <c r="A209" s="5"/>
      <c r="B209" s="108" t="s">
        <v>107</v>
      </c>
      <c r="C209" s="148" t="s">
        <v>25</v>
      </c>
      <c r="D209" s="161">
        <v>6800110370</v>
      </c>
      <c r="E209" s="166"/>
      <c r="F209" s="166"/>
      <c r="G209" s="37"/>
      <c r="H209" s="39">
        <f>H210</f>
        <v>105000</v>
      </c>
      <c r="I209" s="39">
        <f aca="true" t="shared" si="76" ref="I209:T209">I210</f>
        <v>0</v>
      </c>
      <c r="J209" s="39">
        <f t="shared" si="76"/>
        <v>0</v>
      </c>
      <c r="K209" s="39">
        <f t="shared" si="76"/>
        <v>0</v>
      </c>
      <c r="L209" s="39">
        <f t="shared" si="76"/>
        <v>105000</v>
      </c>
      <c r="M209" s="39">
        <f t="shared" si="76"/>
        <v>0</v>
      </c>
      <c r="N209" s="39">
        <f t="shared" si="76"/>
        <v>0</v>
      </c>
      <c r="O209" s="39">
        <f t="shared" si="76"/>
        <v>0</v>
      </c>
      <c r="P209" s="39">
        <f t="shared" si="76"/>
        <v>0</v>
      </c>
      <c r="Q209" s="39">
        <f t="shared" si="76"/>
        <v>0</v>
      </c>
      <c r="R209" s="39">
        <f t="shared" si="76"/>
        <v>0</v>
      </c>
      <c r="S209" s="39">
        <f t="shared" si="76"/>
        <v>0</v>
      </c>
      <c r="T209" s="39">
        <f t="shared" si="76"/>
        <v>0</v>
      </c>
      <c r="U209" s="24">
        <f t="shared" si="72"/>
        <v>105000</v>
      </c>
      <c r="V209" s="21">
        <f t="shared" si="73"/>
        <v>105000</v>
      </c>
    </row>
    <row r="210" spans="1:22" ht="12.75">
      <c r="A210" s="5" t="s">
        <v>42</v>
      </c>
      <c r="B210" s="47" t="s">
        <v>15</v>
      </c>
      <c r="C210" s="170" t="s">
        <v>25</v>
      </c>
      <c r="D210" s="171">
        <v>6800110370</v>
      </c>
      <c r="E210" s="171">
        <v>244</v>
      </c>
      <c r="F210" s="171">
        <v>226</v>
      </c>
      <c r="G210" s="44"/>
      <c r="H210" s="78">
        <f>100000+5000</f>
        <v>105000</v>
      </c>
      <c r="I210" s="78">
        <v>0</v>
      </c>
      <c r="J210" s="78">
        <v>0</v>
      </c>
      <c r="K210" s="78">
        <v>0</v>
      </c>
      <c r="L210" s="78">
        <v>105000</v>
      </c>
      <c r="M210" s="78">
        <v>0</v>
      </c>
      <c r="N210" s="78">
        <v>0</v>
      </c>
      <c r="O210" s="78">
        <v>0</v>
      </c>
      <c r="P210" s="78">
        <v>0</v>
      </c>
      <c r="Q210" s="78">
        <v>0</v>
      </c>
      <c r="R210" s="78">
        <v>0</v>
      </c>
      <c r="S210" s="78">
        <v>0</v>
      </c>
      <c r="T210" s="78">
        <v>0</v>
      </c>
      <c r="U210" s="24">
        <f t="shared" si="72"/>
        <v>105000</v>
      </c>
      <c r="V210" s="21">
        <f t="shared" si="73"/>
        <v>105000</v>
      </c>
    </row>
    <row r="211" spans="1:22" ht="12.75">
      <c r="A211" s="5"/>
      <c r="B211" s="68"/>
      <c r="C211" s="128"/>
      <c r="D211" s="127"/>
      <c r="E211" s="127"/>
      <c r="F211" s="127"/>
      <c r="G211" s="44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24">
        <f t="shared" si="72"/>
        <v>0</v>
      </c>
      <c r="V211" s="21">
        <f t="shared" si="73"/>
        <v>0</v>
      </c>
    </row>
    <row r="212" spans="1:22" ht="12.75" hidden="1">
      <c r="A212" s="5"/>
      <c r="B212" s="68"/>
      <c r="C212" s="128"/>
      <c r="D212" s="127"/>
      <c r="E212" s="127"/>
      <c r="F212" s="127"/>
      <c r="G212" s="44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24">
        <f t="shared" si="72"/>
        <v>0</v>
      </c>
      <c r="V212" s="21">
        <f t="shared" si="73"/>
        <v>0</v>
      </c>
    </row>
    <row r="213" spans="1:22" ht="12.75" hidden="1">
      <c r="A213" s="5"/>
      <c r="B213" s="68"/>
      <c r="C213" s="128"/>
      <c r="D213" s="127"/>
      <c r="E213" s="127"/>
      <c r="F213" s="127"/>
      <c r="G213" s="44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24">
        <f t="shared" si="72"/>
        <v>0</v>
      </c>
      <c r="V213" s="21">
        <f t="shared" si="73"/>
        <v>0</v>
      </c>
    </row>
    <row r="214" spans="1:22" ht="12.75" hidden="1">
      <c r="A214" s="5"/>
      <c r="B214" s="68"/>
      <c r="C214" s="128"/>
      <c r="D214" s="127"/>
      <c r="E214" s="127"/>
      <c r="F214" s="127"/>
      <c r="G214" s="44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24">
        <f t="shared" si="72"/>
        <v>0</v>
      </c>
      <c r="V214" s="21">
        <f t="shared" si="73"/>
        <v>0</v>
      </c>
    </row>
    <row r="215" spans="1:22" ht="12.75" hidden="1">
      <c r="A215" s="5"/>
      <c r="B215" s="68"/>
      <c r="C215" s="128"/>
      <c r="D215" s="127"/>
      <c r="E215" s="127"/>
      <c r="F215" s="127"/>
      <c r="G215" s="44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24">
        <f t="shared" si="72"/>
        <v>0</v>
      </c>
      <c r="V215" s="21">
        <f t="shared" si="73"/>
        <v>0</v>
      </c>
    </row>
    <row r="216" spans="1:22" ht="12.75" hidden="1">
      <c r="A216" s="5"/>
      <c r="B216" s="68"/>
      <c r="C216" s="128"/>
      <c r="D216" s="127"/>
      <c r="E216" s="127"/>
      <c r="F216" s="127"/>
      <c r="G216" s="44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24">
        <f t="shared" si="72"/>
        <v>0</v>
      </c>
      <c r="V216" s="21">
        <f t="shared" si="73"/>
        <v>0</v>
      </c>
    </row>
    <row r="217" spans="1:22" ht="12.75" hidden="1">
      <c r="A217" s="5"/>
      <c r="B217" s="68"/>
      <c r="C217" s="128"/>
      <c r="D217" s="127"/>
      <c r="E217" s="127"/>
      <c r="F217" s="127"/>
      <c r="G217" s="44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24">
        <f t="shared" si="72"/>
        <v>0</v>
      </c>
      <c r="V217" s="21">
        <f t="shared" si="73"/>
        <v>0</v>
      </c>
    </row>
    <row r="218" spans="1:22" ht="12.75" hidden="1">
      <c r="A218" s="5"/>
      <c r="B218" s="68"/>
      <c r="C218" s="128"/>
      <c r="D218" s="127"/>
      <c r="E218" s="127"/>
      <c r="F218" s="127"/>
      <c r="G218" s="44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24">
        <f t="shared" si="72"/>
        <v>0</v>
      </c>
      <c r="V218" s="21">
        <f t="shared" si="73"/>
        <v>0</v>
      </c>
    </row>
    <row r="219" spans="1:22" ht="12.75" hidden="1">
      <c r="A219" s="5"/>
      <c r="B219" s="68"/>
      <c r="C219" s="128"/>
      <c r="D219" s="127"/>
      <c r="E219" s="127"/>
      <c r="F219" s="127"/>
      <c r="G219" s="44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24">
        <f t="shared" si="72"/>
        <v>0</v>
      </c>
      <c r="V219" s="21">
        <f t="shared" si="73"/>
        <v>0</v>
      </c>
    </row>
    <row r="220" spans="1:22" ht="12.75" hidden="1">
      <c r="A220" s="5"/>
      <c r="B220" s="68"/>
      <c r="C220" s="128"/>
      <c r="D220" s="127"/>
      <c r="E220" s="127"/>
      <c r="F220" s="127"/>
      <c r="G220" s="44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24">
        <f t="shared" si="72"/>
        <v>0</v>
      </c>
      <c r="V220" s="21">
        <f t="shared" si="73"/>
        <v>0</v>
      </c>
    </row>
    <row r="221" spans="1:22" ht="12.75" hidden="1">
      <c r="A221" s="42"/>
      <c r="B221" s="66"/>
      <c r="C221" s="123"/>
      <c r="D221" s="123"/>
      <c r="E221" s="123"/>
      <c r="F221" s="123"/>
      <c r="G221" s="44"/>
      <c r="H221" s="81"/>
      <c r="I221" s="81"/>
      <c r="J221" s="81"/>
      <c r="K221" s="81"/>
      <c r="L221" s="81"/>
      <c r="M221" s="81"/>
      <c r="N221" s="81"/>
      <c r="O221" s="81"/>
      <c r="P221" s="81"/>
      <c r="Q221" s="81"/>
      <c r="R221" s="81"/>
      <c r="S221" s="81"/>
      <c r="T221" s="81"/>
      <c r="U221" s="24">
        <f t="shared" si="72"/>
        <v>0</v>
      </c>
      <c r="V221" s="21">
        <f t="shared" si="73"/>
        <v>0</v>
      </c>
    </row>
    <row r="222" spans="1:22" ht="12.75">
      <c r="A222" s="42"/>
      <c r="B222" s="29" t="s">
        <v>53</v>
      </c>
      <c r="C222" s="180" t="s">
        <v>25</v>
      </c>
      <c r="D222" s="123"/>
      <c r="E222" s="123"/>
      <c r="F222" s="123"/>
      <c r="G222" s="44"/>
      <c r="H222" s="74">
        <f>H195+H206+H209</f>
        <v>1740500</v>
      </c>
      <c r="I222" s="75">
        <f aca="true" t="shared" si="77" ref="I222:T222">I195+I206+I209</f>
        <v>45550</v>
      </c>
      <c r="J222" s="75">
        <f t="shared" si="77"/>
        <v>49700</v>
      </c>
      <c r="K222" s="75">
        <f t="shared" si="77"/>
        <v>80000</v>
      </c>
      <c r="L222" s="75">
        <f t="shared" si="77"/>
        <v>244000</v>
      </c>
      <c r="M222" s="75">
        <f t="shared" si="77"/>
        <v>80000</v>
      </c>
      <c r="N222" s="75">
        <f t="shared" si="77"/>
        <v>81250</v>
      </c>
      <c r="O222" s="75">
        <f t="shared" si="77"/>
        <v>95000</v>
      </c>
      <c r="P222" s="75">
        <f t="shared" si="77"/>
        <v>125000</v>
      </c>
      <c r="Q222" s="75">
        <f t="shared" si="77"/>
        <v>110000</v>
      </c>
      <c r="R222" s="75">
        <f t="shared" si="77"/>
        <v>200000</v>
      </c>
      <c r="S222" s="75">
        <f t="shared" si="77"/>
        <v>250000</v>
      </c>
      <c r="T222" s="75">
        <f t="shared" si="77"/>
        <v>380000</v>
      </c>
      <c r="U222" s="24">
        <f>I222+J222+K222+L222+M222+N222+O222+P222+Q222+R222+S222+T222</f>
        <v>1740500</v>
      </c>
      <c r="V222" s="21">
        <f t="shared" si="73"/>
        <v>1740500</v>
      </c>
    </row>
    <row r="223" spans="1:22" ht="12.75">
      <c r="A223" s="42"/>
      <c r="B223" s="66"/>
      <c r="C223" s="123"/>
      <c r="D223" s="123"/>
      <c r="E223" s="123"/>
      <c r="F223" s="123"/>
      <c r="G223" s="44"/>
      <c r="H223" s="81"/>
      <c r="I223" s="81"/>
      <c r="J223" s="81"/>
      <c r="K223" s="81"/>
      <c r="L223" s="81"/>
      <c r="M223" s="81"/>
      <c r="N223" s="81"/>
      <c r="O223" s="81"/>
      <c r="P223" s="81"/>
      <c r="Q223" s="81"/>
      <c r="R223" s="81"/>
      <c r="S223" s="81"/>
      <c r="T223" s="81"/>
      <c r="U223" s="24"/>
      <c r="V223" s="21">
        <f t="shared" si="73"/>
        <v>0</v>
      </c>
    </row>
    <row r="224" spans="1:22" ht="12.75">
      <c r="A224" s="53"/>
      <c r="B224" s="54" t="s">
        <v>74</v>
      </c>
      <c r="C224" s="139"/>
      <c r="D224" s="139"/>
      <c r="E224" s="139"/>
      <c r="F224" s="139"/>
      <c r="G224" s="79"/>
      <c r="H224" s="80">
        <f aca="true" t="shared" si="78" ref="H224:T224">H222+H193</f>
        <v>14439590.73</v>
      </c>
      <c r="I224" s="80">
        <f t="shared" si="78"/>
        <v>67757.06</v>
      </c>
      <c r="J224" s="80">
        <f t="shared" si="78"/>
        <v>56100</v>
      </c>
      <c r="K224" s="80">
        <f t="shared" si="78"/>
        <v>86400</v>
      </c>
      <c r="L224" s="80">
        <f t="shared" si="78"/>
        <v>250400</v>
      </c>
      <c r="M224" s="80">
        <f t="shared" si="78"/>
        <v>136400</v>
      </c>
      <c r="N224" s="80">
        <f t="shared" si="78"/>
        <v>111433.67</v>
      </c>
      <c r="O224" s="80">
        <f t="shared" si="78"/>
        <v>111400</v>
      </c>
      <c r="P224" s="80">
        <f t="shared" si="78"/>
        <v>131400</v>
      </c>
      <c r="Q224" s="80">
        <f t="shared" si="78"/>
        <v>116400</v>
      </c>
      <c r="R224" s="80">
        <f t="shared" si="78"/>
        <v>256400</v>
      </c>
      <c r="S224" s="80">
        <f t="shared" si="78"/>
        <v>12728800</v>
      </c>
      <c r="T224" s="80">
        <f t="shared" si="78"/>
        <v>386700</v>
      </c>
      <c r="U224" s="24">
        <f>I224+J224+K224+L224+M224+N224+O224+P224+Q224+R224+S224+T224</f>
        <v>14439590.73</v>
      </c>
      <c r="V224" s="199">
        <f t="shared" si="73"/>
        <v>14439590.73</v>
      </c>
    </row>
    <row r="225" spans="1:22" ht="12.75">
      <c r="A225" s="42"/>
      <c r="B225" s="66"/>
      <c r="C225" s="123"/>
      <c r="D225" s="123"/>
      <c r="E225" s="123"/>
      <c r="F225" s="123"/>
      <c r="G225" s="44"/>
      <c r="H225" s="81"/>
      <c r="I225" s="81"/>
      <c r="J225" s="81"/>
      <c r="K225" s="81"/>
      <c r="L225" s="81"/>
      <c r="M225" s="81"/>
      <c r="N225" s="81"/>
      <c r="O225" s="81"/>
      <c r="P225" s="81"/>
      <c r="Q225" s="81"/>
      <c r="R225" s="81"/>
      <c r="S225" s="81"/>
      <c r="T225" s="81"/>
      <c r="U225" s="24"/>
      <c r="V225" s="21">
        <f t="shared" si="73"/>
        <v>0</v>
      </c>
    </row>
    <row r="226" spans="1:22" ht="69.75" customHeight="1">
      <c r="A226" s="5" t="s">
        <v>42</v>
      </c>
      <c r="B226" s="35" t="s">
        <v>147</v>
      </c>
      <c r="C226" s="148" t="s">
        <v>75</v>
      </c>
      <c r="D226" s="161">
        <v>6500000000</v>
      </c>
      <c r="E226" s="161"/>
      <c r="F226" s="161"/>
      <c r="G226" s="37"/>
      <c r="H226" s="39">
        <f aca="true" t="shared" si="79" ref="H226:T226">H227+H228+H229+H230+H231</f>
        <v>105200</v>
      </c>
      <c r="I226" s="39">
        <f t="shared" si="79"/>
        <v>9200</v>
      </c>
      <c r="J226" s="39">
        <f t="shared" si="79"/>
        <v>7000</v>
      </c>
      <c r="K226" s="39">
        <f t="shared" si="79"/>
        <v>7000</v>
      </c>
      <c r="L226" s="39">
        <f t="shared" si="79"/>
        <v>9200</v>
      </c>
      <c r="M226" s="39">
        <f t="shared" si="79"/>
        <v>9200</v>
      </c>
      <c r="N226" s="39">
        <f t="shared" si="79"/>
        <v>7000</v>
      </c>
      <c r="O226" s="39">
        <f t="shared" si="79"/>
        <v>7000</v>
      </c>
      <c r="P226" s="39">
        <f t="shared" si="79"/>
        <v>9200</v>
      </c>
      <c r="Q226" s="39">
        <f t="shared" si="79"/>
        <v>9200</v>
      </c>
      <c r="R226" s="39">
        <f t="shared" si="79"/>
        <v>9400</v>
      </c>
      <c r="S226" s="39">
        <f t="shared" si="79"/>
        <v>9400</v>
      </c>
      <c r="T226" s="39">
        <f t="shared" si="79"/>
        <v>12400</v>
      </c>
      <c r="U226" s="24">
        <f aca="true" t="shared" si="80" ref="U226:U231">I226+J226+K226+L226+M226+N226+O226+P226+Q226+R226+S226+T226</f>
        <v>105200</v>
      </c>
      <c r="V226" s="21">
        <f t="shared" si="73"/>
        <v>105200</v>
      </c>
    </row>
    <row r="227" spans="1:22" ht="12.75" hidden="1">
      <c r="A227" s="5" t="s">
        <v>42</v>
      </c>
      <c r="B227" s="3" t="s">
        <v>7</v>
      </c>
      <c r="C227" s="172" t="s">
        <v>75</v>
      </c>
      <c r="D227" s="171">
        <v>6510110250</v>
      </c>
      <c r="E227" s="171">
        <v>611</v>
      </c>
      <c r="F227" s="171">
        <v>211</v>
      </c>
      <c r="G227" s="50"/>
      <c r="H227" s="78">
        <v>0</v>
      </c>
      <c r="I227" s="78">
        <v>0</v>
      </c>
      <c r="J227" s="78">
        <v>0</v>
      </c>
      <c r="K227" s="78">
        <v>0</v>
      </c>
      <c r="L227" s="78">
        <v>0</v>
      </c>
      <c r="M227" s="78">
        <v>0</v>
      </c>
      <c r="N227" s="78">
        <v>0</v>
      </c>
      <c r="O227" s="78">
        <v>0</v>
      </c>
      <c r="P227" s="78">
        <v>0</v>
      </c>
      <c r="Q227" s="78">
        <v>0</v>
      </c>
      <c r="R227" s="78">
        <v>0</v>
      </c>
      <c r="S227" s="78">
        <v>0</v>
      </c>
      <c r="T227" s="78">
        <v>0</v>
      </c>
      <c r="U227" s="24">
        <f t="shared" si="80"/>
        <v>0</v>
      </c>
      <c r="V227" s="21">
        <f t="shared" si="73"/>
        <v>0</v>
      </c>
    </row>
    <row r="228" spans="1:22" ht="12.75" hidden="1">
      <c r="A228" s="5" t="s">
        <v>42</v>
      </c>
      <c r="B228" s="3" t="s">
        <v>9</v>
      </c>
      <c r="C228" s="172" t="s">
        <v>75</v>
      </c>
      <c r="D228" s="171">
        <v>6510110250</v>
      </c>
      <c r="E228" s="171">
        <v>611</v>
      </c>
      <c r="F228" s="171">
        <v>213</v>
      </c>
      <c r="G228" s="50"/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  <c r="Q228" s="78">
        <v>0</v>
      </c>
      <c r="R228" s="78">
        <v>0</v>
      </c>
      <c r="S228" s="78">
        <v>0</v>
      </c>
      <c r="T228" s="78">
        <v>0</v>
      </c>
      <c r="U228" s="24">
        <f t="shared" si="80"/>
        <v>0</v>
      </c>
      <c r="V228" s="21">
        <f t="shared" si="73"/>
        <v>0</v>
      </c>
    </row>
    <row r="229" spans="1:22" ht="25.5">
      <c r="A229" s="83" t="s">
        <v>42</v>
      </c>
      <c r="B229" s="3" t="s">
        <v>7</v>
      </c>
      <c r="C229" s="172" t="s">
        <v>75</v>
      </c>
      <c r="D229" s="171">
        <v>6510110250</v>
      </c>
      <c r="E229" s="171">
        <v>611</v>
      </c>
      <c r="F229" s="171">
        <v>211</v>
      </c>
      <c r="G229" s="82" t="s">
        <v>76</v>
      </c>
      <c r="H229" s="78">
        <v>65400</v>
      </c>
      <c r="I229" s="78">
        <v>5400</v>
      </c>
      <c r="J229" s="78">
        <v>5400</v>
      </c>
      <c r="K229" s="78">
        <v>5400</v>
      </c>
      <c r="L229" s="78">
        <v>5400</v>
      </c>
      <c r="M229" s="78">
        <v>5400</v>
      </c>
      <c r="N229" s="78">
        <v>5400</v>
      </c>
      <c r="O229" s="78">
        <v>5400</v>
      </c>
      <c r="P229" s="78">
        <v>5400</v>
      </c>
      <c r="Q229" s="78">
        <v>5400</v>
      </c>
      <c r="R229" s="78">
        <v>5400</v>
      </c>
      <c r="S229" s="78">
        <v>5400</v>
      </c>
      <c r="T229" s="78">
        <v>6000</v>
      </c>
      <c r="U229" s="24">
        <f t="shared" si="80"/>
        <v>65400</v>
      </c>
      <c r="V229" s="21">
        <f t="shared" si="73"/>
        <v>65400</v>
      </c>
    </row>
    <row r="230" spans="1:22" ht="25.5">
      <c r="A230" s="83" t="s">
        <v>42</v>
      </c>
      <c r="B230" s="3" t="s">
        <v>9</v>
      </c>
      <c r="C230" s="172" t="s">
        <v>75</v>
      </c>
      <c r="D230" s="171">
        <v>6510110250</v>
      </c>
      <c r="E230" s="171">
        <v>611</v>
      </c>
      <c r="F230" s="171">
        <v>213</v>
      </c>
      <c r="G230" s="82" t="s">
        <v>76</v>
      </c>
      <c r="H230" s="78">
        <v>19800</v>
      </c>
      <c r="I230" s="78">
        <v>1600</v>
      </c>
      <c r="J230" s="78">
        <v>1600</v>
      </c>
      <c r="K230" s="78">
        <v>1600</v>
      </c>
      <c r="L230" s="78">
        <v>1600</v>
      </c>
      <c r="M230" s="78">
        <v>1600</v>
      </c>
      <c r="N230" s="78">
        <v>1600</v>
      </c>
      <c r="O230" s="78">
        <v>1600</v>
      </c>
      <c r="P230" s="78">
        <v>1600</v>
      </c>
      <c r="Q230" s="78">
        <v>1600</v>
      </c>
      <c r="R230" s="78">
        <v>1600</v>
      </c>
      <c r="S230" s="78">
        <v>1600</v>
      </c>
      <c r="T230" s="78">
        <v>2200</v>
      </c>
      <c r="U230" s="24">
        <f t="shared" si="80"/>
        <v>19800</v>
      </c>
      <c r="V230" s="21">
        <f t="shared" si="73"/>
        <v>19800</v>
      </c>
    </row>
    <row r="231" spans="1:22" ht="12.75">
      <c r="A231" s="5" t="s">
        <v>42</v>
      </c>
      <c r="B231" s="72" t="s">
        <v>16</v>
      </c>
      <c r="C231" s="172" t="s">
        <v>75</v>
      </c>
      <c r="D231" s="171">
        <v>6510110250</v>
      </c>
      <c r="E231" s="171">
        <v>611</v>
      </c>
      <c r="F231" s="171">
        <v>290</v>
      </c>
      <c r="G231" s="50"/>
      <c r="H231" s="78">
        <v>20000</v>
      </c>
      <c r="I231" s="78">
        <v>2200</v>
      </c>
      <c r="J231" s="78">
        <v>0</v>
      </c>
      <c r="K231" s="78">
        <v>0</v>
      </c>
      <c r="L231" s="78">
        <v>2200</v>
      </c>
      <c r="M231" s="78">
        <v>2200</v>
      </c>
      <c r="N231" s="78">
        <v>0</v>
      </c>
      <c r="O231" s="78">
        <v>0</v>
      </c>
      <c r="P231" s="78">
        <v>2200</v>
      </c>
      <c r="Q231" s="78">
        <v>2200</v>
      </c>
      <c r="R231" s="78">
        <v>2400</v>
      </c>
      <c r="S231" s="78">
        <v>2400</v>
      </c>
      <c r="T231" s="78">
        <v>4200</v>
      </c>
      <c r="U231" s="24">
        <f t="shared" si="80"/>
        <v>20000</v>
      </c>
      <c r="V231" s="21">
        <f t="shared" si="73"/>
        <v>20000</v>
      </c>
    </row>
    <row r="232" spans="1:22" ht="12.75">
      <c r="A232" s="42"/>
      <c r="B232" s="66"/>
      <c r="C232" s="171"/>
      <c r="D232" s="171"/>
      <c r="E232" s="171"/>
      <c r="F232" s="171"/>
      <c r="G232" s="50"/>
      <c r="H232" s="78"/>
      <c r="I232" s="78"/>
      <c r="J232" s="78"/>
      <c r="K232" s="78"/>
      <c r="L232" s="78"/>
      <c r="M232" s="78"/>
      <c r="N232" s="78"/>
      <c r="O232" s="78"/>
      <c r="P232" s="78"/>
      <c r="Q232" s="78"/>
      <c r="R232" s="78"/>
      <c r="S232" s="78"/>
      <c r="T232" s="78"/>
      <c r="U232" s="24"/>
      <c r="V232" s="21">
        <f t="shared" si="73"/>
        <v>0</v>
      </c>
    </row>
    <row r="233" spans="1:22" ht="12.75">
      <c r="A233" s="42"/>
      <c r="B233" s="29" t="s">
        <v>53</v>
      </c>
      <c r="C233" s="180" t="s">
        <v>75</v>
      </c>
      <c r="D233" s="171"/>
      <c r="E233" s="171"/>
      <c r="F233" s="171"/>
      <c r="G233" s="50"/>
      <c r="H233" s="74">
        <f aca="true" t="shared" si="81" ref="H233:T233">H226</f>
        <v>105200</v>
      </c>
      <c r="I233" s="75">
        <f t="shared" si="81"/>
        <v>9200</v>
      </c>
      <c r="J233" s="75">
        <f t="shared" si="81"/>
        <v>7000</v>
      </c>
      <c r="K233" s="75">
        <f t="shared" si="81"/>
        <v>7000</v>
      </c>
      <c r="L233" s="75">
        <f t="shared" si="81"/>
        <v>9200</v>
      </c>
      <c r="M233" s="75">
        <f t="shared" si="81"/>
        <v>9200</v>
      </c>
      <c r="N233" s="75">
        <f t="shared" si="81"/>
        <v>7000</v>
      </c>
      <c r="O233" s="75">
        <f t="shared" si="81"/>
        <v>7000</v>
      </c>
      <c r="P233" s="75">
        <f t="shared" si="81"/>
        <v>9200</v>
      </c>
      <c r="Q233" s="75">
        <f t="shared" si="81"/>
        <v>9200</v>
      </c>
      <c r="R233" s="75">
        <f t="shared" si="81"/>
        <v>9400</v>
      </c>
      <c r="S233" s="75">
        <f t="shared" si="81"/>
        <v>9400</v>
      </c>
      <c r="T233" s="75">
        <f t="shared" si="81"/>
        <v>12400</v>
      </c>
      <c r="U233" s="24">
        <f>I233+J233+K233+L233+M233+N233+O233+P233+Q233+R233+S233+T233</f>
        <v>105200</v>
      </c>
      <c r="V233" s="21">
        <f t="shared" si="73"/>
        <v>105200</v>
      </c>
    </row>
    <row r="234" spans="1:22" ht="12.75">
      <c r="A234" s="42"/>
      <c r="B234" s="66"/>
      <c r="C234" s="127"/>
      <c r="D234" s="127"/>
      <c r="E234" s="127"/>
      <c r="F234" s="127"/>
      <c r="G234" s="50"/>
      <c r="H234" s="78"/>
      <c r="I234" s="78"/>
      <c r="J234" s="78"/>
      <c r="K234" s="78"/>
      <c r="L234" s="78"/>
      <c r="M234" s="78"/>
      <c r="N234" s="78"/>
      <c r="O234" s="78"/>
      <c r="P234" s="78"/>
      <c r="Q234" s="78"/>
      <c r="R234" s="78"/>
      <c r="S234" s="78"/>
      <c r="T234" s="78"/>
      <c r="U234" s="24"/>
      <c r="V234" s="21">
        <f t="shared" si="73"/>
        <v>0</v>
      </c>
    </row>
    <row r="235" spans="1:22" ht="12.75">
      <c r="A235" s="53"/>
      <c r="B235" s="54" t="s">
        <v>77</v>
      </c>
      <c r="C235" s="140"/>
      <c r="D235" s="140"/>
      <c r="E235" s="140"/>
      <c r="F235" s="140"/>
      <c r="G235" s="84"/>
      <c r="H235" s="80">
        <f aca="true" t="shared" si="82" ref="H235:T235">H233</f>
        <v>105200</v>
      </c>
      <c r="I235" s="80">
        <f t="shared" si="82"/>
        <v>9200</v>
      </c>
      <c r="J235" s="80">
        <f t="shared" si="82"/>
        <v>7000</v>
      </c>
      <c r="K235" s="80">
        <f t="shared" si="82"/>
        <v>7000</v>
      </c>
      <c r="L235" s="80">
        <f t="shared" si="82"/>
        <v>9200</v>
      </c>
      <c r="M235" s="80">
        <f t="shared" si="82"/>
        <v>9200</v>
      </c>
      <c r="N235" s="80">
        <f t="shared" si="82"/>
        <v>7000</v>
      </c>
      <c r="O235" s="80">
        <f t="shared" si="82"/>
        <v>7000</v>
      </c>
      <c r="P235" s="80">
        <f t="shared" si="82"/>
        <v>9200</v>
      </c>
      <c r="Q235" s="80">
        <f t="shared" si="82"/>
        <v>9200</v>
      </c>
      <c r="R235" s="80">
        <f t="shared" si="82"/>
        <v>9400</v>
      </c>
      <c r="S235" s="80">
        <f t="shared" si="82"/>
        <v>9400</v>
      </c>
      <c r="T235" s="80">
        <f t="shared" si="82"/>
        <v>12400</v>
      </c>
      <c r="U235" s="24">
        <f>I235+J235+K235+L235+M235+N235+O235+P235+Q235+R235+S235+T235</f>
        <v>105200</v>
      </c>
      <c r="V235" s="199">
        <f t="shared" si="73"/>
        <v>105200</v>
      </c>
    </row>
    <row r="236" spans="1:22" ht="12.75">
      <c r="A236" s="42"/>
      <c r="B236" s="66"/>
      <c r="C236" s="127"/>
      <c r="D236" s="127"/>
      <c r="E236" s="127"/>
      <c r="F236" s="127"/>
      <c r="G236" s="50"/>
      <c r="H236" s="78"/>
      <c r="I236" s="78"/>
      <c r="J236" s="78"/>
      <c r="K236" s="78"/>
      <c r="L236" s="78"/>
      <c r="M236" s="78"/>
      <c r="N236" s="78"/>
      <c r="O236" s="78"/>
      <c r="P236" s="78"/>
      <c r="Q236" s="78"/>
      <c r="R236" s="78"/>
      <c r="S236" s="78"/>
      <c r="T236" s="78"/>
      <c r="U236" s="24"/>
      <c r="V236" s="21">
        <f t="shared" si="73"/>
        <v>0</v>
      </c>
    </row>
    <row r="237" spans="1:22" ht="66.75" customHeight="1">
      <c r="A237" s="5" t="s">
        <v>42</v>
      </c>
      <c r="B237" s="35" t="s">
        <v>148</v>
      </c>
      <c r="C237" s="148" t="s">
        <v>26</v>
      </c>
      <c r="D237" s="161">
        <v>8200000000</v>
      </c>
      <c r="E237" s="117"/>
      <c r="F237" s="117"/>
      <c r="G237" s="37"/>
      <c r="H237" s="39">
        <f aca="true" t="shared" si="83" ref="H237:T237">H239+H242+H270+H285</f>
        <v>12249900</v>
      </c>
      <c r="I237" s="39">
        <f t="shared" si="83"/>
        <v>995900</v>
      </c>
      <c r="J237" s="39">
        <f t="shared" si="83"/>
        <v>955190</v>
      </c>
      <c r="K237" s="39">
        <f t="shared" si="83"/>
        <v>973290</v>
      </c>
      <c r="L237" s="39">
        <f t="shared" si="83"/>
        <v>1031890</v>
      </c>
      <c r="M237" s="39">
        <f t="shared" si="83"/>
        <v>952790</v>
      </c>
      <c r="N237" s="39">
        <f t="shared" si="83"/>
        <v>914650</v>
      </c>
      <c r="O237" s="39">
        <f t="shared" si="83"/>
        <v>978790</v>
      </c>
      <c r="P237" s="39">
        <f t="shared" si="83"/>
        <v>928790</v>
      </c>
      <c r="Q237" s="39">
        <f t="shared" si="83"/>
        <v>957690</v>
      </c>
      <c r="R237" s="39">
        <f t="shared" si="83"/>
        <v>1111630</v>
      </c>
      <c r="S237" s="39">
        <f t="shared" si="83"/>
        <v>1147390</v>
      </c>
      <c r="T237" s="39">
        <f t="shared" si="83"/>
        <v>1301900</v>
      </c>
      <c r="U237" s="24">
        <f>I237+J237+K237+L237+M237+N237+O237+P237+Q237+R237+S237+T237</f>
        <v>12249900</v>
      </c>
      <c r="V237" s="21">
        <f t="shared" si="73"/>
        <v>12249900</v>
      </c>
    </row>
    <row r="238" spans="1:22" ht="12.75">
      <c r="A238" s="42"/>
      <c r="B238" s="66"/>
      <c r="C238" s="123"/>
      <c r="D238" s="123"/>
      <c r="E238" s="123"/>
      <c r="F238" s="123"/>
      <c r="G238" s="44"/>
      <c r="H238" s="81"/>
      <c r="I238" s="81"/>
      <c r="J238" s="81"/>
      <c r="K238" s="81"/>
      <c r="L238" s="81"/>
      <c r="M238" s="81"/>
      <c r="N238" s="81"/>
      <c r="O238" s="81"/>
      <c r="P238" s="81"/>
      <c r="Q238" s="81"/>
      <c r="R238" s="81"/>
      <c r="S238" s="81"/>
      <c r="T238" s="81"/>
      <c r="U238" s="24"/>
      <c r="V238" s="21">
        <f t="shared" si="73"/>
        <v>0</v>
      </c>
    </row>
    <row r="239" spans="1:22" ht="38.25">
      <c r="A239" s="5" t="s">
        <v>42</v>
      </c>
      <c r="B239" s="35" t="s">
        <v>149</v>
      </c>
      <c r="C239" s="148" t="s">
        <v>26</v>
      </c>
      <c r="D239" s="161">
        <v>8210000000</v>
      </c>
      <c r="E239" s="161"/>
      <c r="F239" s="161"/>
      <c r="G239" s="37"/>
      <c r="H239" s="39">
        <f aca="true" t="shared" si="84" ref="H239:T239">H240</f>
        <v>50000</v>
      </c>
      <c r="I239" s="39">
        <f t="shared" si="84"/>
        <v>0</v>
      </c>
      <c r="J239" s="39">
        <f t="shared" si="84"/>
        <v>0</v>
      </c>
      <c r="K239" s="39">
        <f t="shared" si="84"/>
        <v>0</v>
      </c>
      <c r="L239" s="39">
        <f t="shared" si="84"/>
        <v>0</v>
      </c>
      <c r="M239" s="39">
        <f t="shared" si="84"/>
        <v>0</v>
      </c>
      <c r="N239" s="39">
        <f t="shared" si="84"/>
        <v>0</v>
      </c>
      <c r="O239" s="39">
        <f t="shared" si="84"/>
        <v>0</v>
      </c>
      <c r="P239" s="39">
        <f t="shared" si="84"/>
        <v>0</v>
      </c>
      <c r="Q239" s="39">
        <f t="shared" si="84"/>
        <v>0</v>
      </c>
      <c r="R239" s="39">
        <f t="shared" si="84"/>
        <v>0</v>
      </c>
      <c r="S239" s="39">
        <f t="shared" si="84"/>
        <v>0</v>
      </c>
      <c r="T239" s="39">
        <f t="shared" si="84"/>
        <v>50000</v>
      </c>
      <c r="U239" s="24">
        <f>I239+J239+K239+L239+M239+N239+O239+P239+Q239+R239+S239+T239</f>
        <v>50000</v>
      </c>
      <c r="V239" s="21">
        <f t="shared" si="73"/>
        <v>50000</v>
      </c>
    </row>
    <row r="240" spans="1:22" ht="12.75">
      <c r="A240" s="5" t="s">
        <v>42</v>
      </c>
      <c r="B240" s="72" t="s">
        <v>16</v>
      </c>
      <c r="C240" s="170" t="s">
        <v>26</v>
      </c>
      <c r="D240" s="171">
        <v>8210100260</v>
      </c>
      <c r="E240" s="171">
        <v>611</v>
      </c>
      <c r="F240" s="171">
        <v>290</v>
      </c>
      <c r="G240" s="50"/>
      <c r="H240" s="78">
        <v>50000</v>
      </c>
      <c r="I240" s="78">
        <v>0</v>
      </c>
      <c r="J240" s="78">
        <v>0</v>
      </c>
      <c r="K240" s="78">
        <v>0</v>
      </c>
      <c r="L240" s="78">
        <v>0</v>
      </c>
      <c r="M240" s="78">
        <v>0</v>
      </c>
      <c r="N240" s="78">
        <v>0</v>
      </c>
      <c r="O240" s="78">
        <v>0</v>
      </c>
      <c r="P240" s="78">
        <v>0</v>
      </c>
      <c r="Q240" s="78">
        <v>0</v>
      </c>
      <c r="R240" s="78">
        <v>0</v>
      </c>
      <c r="S240" s="78">
        <v>0</v>
      </c>
      <c r="T240" s="78">
        <v>50000</v>
      </c>
      <c r="U240" s="24">
        <f>I240+J240+K240+L240+M240+N240+O240+P240+Q240+R240+S240+T240</f>
        <v>50000</v>
      </c>
      <c r="V240" s="21">
        <f t="shared" si="73"/>
        <v>50000</v>
      </c>
    </row>
    <row r="241" spans="1:22" ht="12.75">
      <c r="A241" s="42"/>
      <c r="B241" s="66"/>
      <c r="C241" s="127"/>
      <c r="D241" s="127"/>
      <c r="E241" s="127"/>
      <c r="F241" s="127"/>
      <c r="G241" s="50"/>
      <c r="H241" s="78"/>
      <c r="I241" s="78"/>
      <c r="J241" s="78"/>
      <c r="K241" s="78"/>
      <c r="L241" s="78"/>
      <c r="M241" s="78"/>
      <c r="N241" s="78"/>
      <c r="O241" s="78"/>
      <c r="P241" s="78"/>
      <c r="Q241" s="78"/>
      <c r="R241" s="78"/>
      <c r="S241" s="78"/>
      <c r="T241" s="78"/>
      <c r="U241" s="24"/>
      <c r="V241" s="21">
        <f t="shared" si="73"/>
        <v>0</v>
      </c>
    </row>
    <row r="242" spans="1:22" ht="89.25">
      <c r="A242" s="5" t="s">
        <v>42</v>
      </c>
      <c r="B242" s="35" t="s">
        <v>150</v>
      </c>
      <c r="C242" s="148" t="s">
        <v>26</v>
      </c>
      <c r="D242" s="161">
        <v>8220000000</v>
      </c>
      <c r="E242" s="117"/>
      <c r="F242" s="117"/>
      <c r="G242" s="37"/>
      <c r="H242" s="39">
        <f aca="true" t="shared" si="85" ref="H242:T242">H243+H244+H245+H246+H247+H248+H249+H250+H251+H253+H254+H255+H256+H257+H258+H259+H260+H261+H262+H263+H265+H266+H252+H264+H267+H268</f>
        <v>8326500</v>
      </c>
      <c r="I242" s="39">
        <f t="shared" si="85"/>
        <v>677700</v>
      </c>
      <c r="J242" s="39">
        <f t="shared" si="85"/>
        <v>653890</v>
      </c>
      <c r="K242" s="39">
        <f t="shared" si="85"/>
        <v>667190</v>
      </c>
      <c r="L242" s="39">
        <f t="shared" si="85"/>
        <v>722790</v>
      </c>
      <c r="M242" s="39">
        <f t="shared" si="85"/>
        <v>633690</v>
      </c>
      <c r="N242" s="39">
        <f t="shared" si="85"/>
        <v>615550</v>
      </c>
      <c r="O242" s="39">
        <f t="shared" si="85"/>
        <v>670190</v>
      </c>
      <c r="P242" s="39">
        <f t="shared" si="85"/>
        <v>619690</v>
      </c>
      <c r="Q242" s="39">
        <f t="shared" si="85"/>
        <v>648590</v>
      </c>
      <c r="R242" s="39">
        <f t="shared" si="85"/>
        <v>750130</v>
      </c>
      <c r="S242" s="39">
        <f t="shared" si="85"/>
        <v>797490</v>
      </c>
      <c r="T242" s="39">
        <f t="shared" si="85"/>
        <v>869600</v>
      </c>
      <c r="U242" s="24">
        <f aca="true" t="shared" si="86" ref="U242:U268">I242+J242+K242+L242+M242+N242+O242+P242+Q242+R242+S242+T242</f>
        <v>8326500</v>
      </c>
      <c r="V242" s="21">
        <f t="shared" si="73"/>
        <v>8326500</v>
      </c>
    </row>
    <row r="243" spans="1:22" ht="25.5">
      <c r="A243" s="5" t="s">
        <v>42</v>
      </c>
      <c r="B243" s="3" t="s">
        <v>7</v>
      </c>
      <c r="C243" s="164" t="s">
        <v>26</v>
      </c>
      <c r="D243" s="162">
        <v>8220100270</v>
      </c>
      <c r="E243" s="162">
        <v>611</v>
      </c>
      <c r="F243" s="162">
        <v>211</v>
      </c>
      <c r="G243" s="87" t="s">
        <v>108</v>
      </c>
      <c r="H243" s="78">
        <v>5537600</v>
      </c>
      <c r="I243" s="78">
        <v>461100</v>
      </c>
      <c r="J243" s="78">
        <v>461500</v>
      </c>
      <c r="K243" s="78">
        <v>461500</v>
      </c>
      <c r="L243" s="78">
        <v>461500</v>
      </c>
      <c r="M243" s="78">
        <v>461500</v>
      </c>
      <c r="N243" s="78">
        <v>461500</v>
      </c>
      <c r="O243" s="78">
        <v>461500</v>
      </c>
      <c r="P243" s="78">
        <v>461500</v>
      </c>
      <c r="Q243" s="78">
        <v>461500</v>
      </c>
      <c r="R243" s="78">
        <v>461500</v>
      </c>
      <c r="S243" s="78">
        <v>461500</v>
      </c>
      <c r="T243" s="78">
        <v>461500</v>
      </c>
      <c r="U243" s="24">
        <f t="shared" si="86"/>
        <v>5537600</v>
      </c>
      <c r="V243" s="21">
        <f t="shared" si="73"/>
        <v>5537600</v>
      </c>
    </row>
    <row r="244" spans="1:22" ht="25.5">
      <c r="A244" s="5" t="s">
        <v>42</v>
      </c>
      <c r="B244" s="3" t="s">
        <v>9</v>
      </c>
      <c r="C244" s="164" t="s">
        <v>26</v>
      </c>
      <c r="D244" s="162">
        <v>8220100270</v>
      </c>
      <c r="E244" s="162">
        <v>611</v>
      </c>
      <c r="F244" s="162">
        <v>213</v>
      </c>
      <c r="G244" s="87" t="s">
        <v>108</v>
      </c>
      <c r="H244" s="78">
        <v>1672400</v>
      </c>
      <c r="I244" s="78">
        <v>139000</v>
      </c>
      <c r="J244" s="78">
        <v>139400</v>
      </c>
      <c r="K244" s="78">
        <v>139400</v>
      </c>
      <c r="L244" s="78">
        <v>139400</v>
      </c>
      <c r="M244" s="78">
        <v>139400</v>
      </c>
      <c r="N244" s="78">
        <v>139400</v>
      </c>
      <c r="O244" s="78">
        <v>139400</v>
      </c>
      <c r="P244" s="78">
        <v>139400</v>
      </c>
      <c r="Q244" s="78">
        <v>139400</v>
      </c>
      <c r="R244" s="78">
        <v>139400</v>
      </c>
      <c r="S244" s="78">
        <v>139400</v>
      </c>
      <c r="T244" s="78">
        <v>139400</v>
      </c>
      <c r="U244" s="24">
        <f t="shared" si="86"/>
        <v>1672400</v>
      </c>
      <c r="V244" s="21">
        <f t="shared" si="73"/>
        <v>1672400</v>
      </c>
    </row>
    <row r="245" spans="1:22" ht="12.75">
      <c r="A245" s="5" t="s">
        <v>42</v>
      </c>
      <c r="B245" s="3" t="s">
        <v>12</v>
      </c>
      <c r="C245" s="164" t="s">
        <v>26</v>
      </c>
      <c r="D245" s="162">
        <v>8220100270</v>
      </c>
      <c r="E245" s="162">
        <v>611</v>
      </c>
      <c r="F245" s="162">
        <v>221</v>
      </c>
      <c r="G245" s="85" t="s">
        <v>82</v>
      </c>
      <c r="H245" s="78">
        <v>24400</v>
      </c>
      <c r="I245" s="78">
        <v>2000</v>
      </c>
      <c r="J245" s="78">
        <v>2000</v>
      </c>
      <c r="K245" s="78">
        <v>2000</v>
      </c>
      <c r="L245" s="78">
        <v>2000</v>
      </c>
      <c r="M245" s="78">
        <v>2000</v>
      </c>
      <c r="N245" s="78">
        <v>2000</v>
      </c>
      <c r="O245" s="78">
        <v>2000</v>
      </c>
      <c r="P245" s="78">
        <v>2000</v>
      </c>
      <c r="Q245" s="78">
        <v>2000</v>
      </c>
      <c r="R245" s="78">
        <v>2000</v>
      </c>
      <c r="S245" s="78">
        <v>2000</v>
      </c>
      <c r="T245" s="78">
        <v>2400</v>
      </c>
      <c r="U245" s="24">
        <f t="shared" si="86"/>
        <v>24400</v>
      </c>
      <c r="V245" s="21">
        <f t="shared" si="73"/>
        <v>24400</v>
      </c>
    </row>
    <row r="246" spans="1:22" ht="12.75">
      <c r="A246" s="5" t="s">
        <v>42</v>
      </c>
      <c r="B246" s="3" t="s">
        <v>12</v>
      </c>
      <c r="C246" s="164" t="s">
        <v>26</v>
      </c>
      <c r="D246" s="162">
        <v>8220100270</v>
      </c>
      <c r="E246" s="162">
        <v>611</v>
      </c>
      <c r="F246" s="162">
        <v>221</v>
      </c>
      <c r="G246" s="85" t="s">
        <v>83</v>
      </c>
      <c r="H246" s="78">
        <v>10600</v>
      </c>
      <c r="I246" s="78">
        <v>800</v>
      </c>
      <c r="J246" s="78">
        <v>890</v>
      </c>
      <c r="K246" s="78">
        <v>890</v>
      </c>
      <c r="L246" s="78">
        <v>890</v>
      </c>
      <c r="M246" s="78">
        <v>890</v>
      </c>
      <c r="N246" s="78">
        <v>890</v>
      </c>
      <c r="O246" s="78">
        <v>890</v>
      </c>
      <c r="P246" s="78">
        <v>890</v>
      </c>
      <c r="Q246" s="78">
        <v>890</v>
      </c>
      <c r="R246" s="78">
        <v>890</v>
      </c>
      <c r="S246" s="78">
        <v>890</v>
      </c>
      <c r="T246" s="78">
        <v>900</v>
      </c>
      <c r="U246" s="24">
        <f t="shared" si="86"/>
        <v>10600</v>
      </c>
      <c r="V246" s="21">
        <f t="shared" si="73"/>
        <v>10600</v>
      </c>
    </row>
    <row r="247" spans="1:22" ht="12.75">
      <c r="A247" s="5" t="s">
        <v>42</v>
      </c>
      <c r="B247" s="3" t="s">
        <v>13</v>
      </c>
      <c r="C247" s="164" t="s">
        <v>26</v>
      </c>
      <c r="D247" s="162">
        <v>8220100270</v>
      </c>
      <c r="E247" s="162">
        <v>611</v>
      </c>
      <c r="F247" s="162">
        <v>223</v>
      </c>
      <c r="G247" s="87" t="s">
        <v>84</v>
      </c>
      <c r="H247" s="78">
        <v>121300</v>
      </c>
      <c r="I247" s="78">
        <v>10000</v>
      </c>
      <c r="J247" s="78">
        <v>15000</v>
      </c>
      <c r="K247" s="78">
        <v>10000</v>
      </c>
      <c r="L247" s="78">
        <v>10000</v>
      </c>
      <c r="M247" s="78">
        <v>8000</v>
      </c>
      <c r="N247" s="78">
        <v>3060</v>
      </c>
      <c r="O247" s="78">
        <v>5000</v>
      </c>
      <c r="P247" s="78">
        <v>5000</v>
      </c>
      <c r="Q247" s="78">
        <v>10000</v>
      </c>
      <c r="R247" s="78">
        <v>15140</v>
      </c>
      <c r="S247" s="78">
        <v>15000</v>
      </c>
      <c r="T247" s="78">
        <v>15100</v>
      </c>
      <c r="U247" s="24">
        <f t="shared" si="86"/>
        <v>121300</v>
      </c>
      <c r="V247" s="21">
        <f t="shared" si="73"/>
        <v>121300</v>
      </c>
    </row>
    <row r="248" spans="1:22" ht="12.75">
      <c r="A248" s="5" t="s">
        <v>42</v>
      </c>
      <c r="B248" s="3" t="s">
        <v>13</v>
      </c>
      <c r="C248" s="164" t="s">
        <v>26</v>
      </c>
      <c r="D248" s="162">
        <v>8220100270</v>
      </c>
      <c r="E248" s="162">
        <v>611</v>
      </c>
      <c r="F248" s="162">
        <v>223</v>
      </c>
      <c r="G248" s="87" t="s">
        <v>85</v>
      </c>
      <c r="H248" s="78">
        <v>13000</v>
      </c>
      <c r="I248" s="78">
        <v>900</v>
      </c>
      <c r="J248" s="78">
        <v>900</v>
      </c>
      <c r="K248" s="78">
        <v>900</v>
      </c>
      <c r="L248" s="78">
        <v>900</v>
      </c>
      <c r="M248" s="78">
        <v>1000</v>
      </c>
      <c r="N248" s="78">
        <v>1600</v>
      </c>
      <c r="O248" s="78">
        <v>1600</v>
      </c>
      <c r="P248" s="78">
        <v>1500</v>
      </c>
      <c r="Q248" s="78">
        <v>1000</v>
      </c>
      <c r="R248" s="78">
        <v>900</v>
      </c>
      <c r="S248" s="78">
        <v>900</v>
      </c>
      <c r="T248" s="78">
        <v>900</v>
      </c>
      <c r="U248" s="24">
        <f t="shared" si="86"/>
        <v>13000</v>
      </c>
      <c r="V248" s="21">
        <f t="shared" si="73"/>
        <v>13000</v>
      </c>
    </row>
    <row r="249" spans="1:22" ht="25.5">
      <c r="A249" s="83" t="s">
        <v>42</v>
      </c>
      <c r="B249" s="3" t="s">
        <v>13</v>
      </c>
      <c r="C249" s="164" t="s">
        <v>26</v>
      </c>
      <c r="D249" s="162">
        <v>8220100270</v>
      </c>
      <c r="E249" s="162">
        <v>611</v>
      </c>
      <c r="F249" s="162">
        <v>223</v>
      </c>
      <c r="G249" s="87" t="s">
        <v>81</v>
      </c>
      <c r="H249" s="78">
        <v>379000</v>
      </c>
      <c r="I249" s="78">
        <v>50000</v>
      </c>
      <c r="J249" s="78">
        <v>20000</v>
      </c>
      <c r="K249" s="78">
        <v>41200</v>
      </c>
      <c r="L249" s="78">
        <v>30000</v>
      </c>
      <c r="M249" s="78">
        <v>0</v>
      </c>
      <c r="N249" s="78">
        <v>0</v>
      </c>
      <c r="O249" s="78">
        <v>0</v>
      </c>
      <c r="P249" s="78">
        <v>0</v>
      </c>
      <c r="Q249" s="78">
        <v>0</v>
      </c>
      <c r="R249" s="78">
        <v>30000</v>
      </c>
      <c r="S249" s="78">
        <v>101400</v>
      </c>
      <c r="T249" s="78">
        <v>106400</v>
      </c>
      <c r="U249" s="24">
        <f t="shared" si="86"/>
        <v>379000</v>
      </c>
      <c r="V249" s="21">
        <f t="shared" si="73"/>
        <v>379000</v>
      </c>
    </row>
    <row r="250" spans="1:22" ht="25.5">
      <c r="A250" s="5" t="s">
        <v>42</v>
      </c>
      <c r="B250" s="72" t="s">
        <v>71</v>
      </c>
      <c r="C250" s="164" t="s">
        <v>26</v>
      </c>
      <c r="D250" s="162">
        <v>8220100270</v>
      </c>
      <c r="E250" s="162">
        <v>611</v>
      </c>
      <c r="F250" s="162">
        <v>225</v>
      </c>
      <c r="G250" s="87" t="s">
        <v>48</v>
      </c>
      <c r="H250" s="78">
        <v>58000</v>
      </c>
      <c r="I250" s="78">
        <v>0</v>
      </c>
      <c r="J250" s="78">
        <v>0</v>
      </c>
      <c r="K250" s="78">
        <v>0</v>
      </c>
      <c r="L250" s="78">
        <v>17000</v>
      </c>
      <c r="M250" s="78">
        <v>6500</v>
      </c>
      <c r="N250" s="78">
        <v>0</v>
      </c>
      <c r="O250" s="78">
        <v>0</v>
      </c>
      <c r="P250" s="78">
        <v>0</v>
      </c>
      <c r="Q250" s="78">
        <v>0</v>
      </c>
      <c r="R250" s="78">
        <v>26600</v>
      </c>
      <c r="S250" s="78">
        <v>7900</v>
      </c>
      <c r="T250" s="78">
        <v>0</v>
      </c>
      <c r="U250" s="24">
        <f t="shared" si="86"/>
        <v>58000</v>
      </c>
      <c r="V250" s="21">
        <f t="shared" si="73"/>
        <v>58000</v>
      </c>
    </row>
    <row r="251" spans="1:22" ht="12.75" hidden="1">
      <c r="A251" s="5" t="s">
        <v>42</v>
      </c>
      <c r="B251" s="3" t="s">
        <v>15</v>
      </c>
      <c r="C251" s="128" t="s">
        <v>26</v>
      </c>
      <c r="D251" s="127">
        <v>8220100270</v>
      </c>
      <c r="E251" s="127">
        <v>611</v>
      </c>
      <c r="F251" s="113">
        <v>226</v>
      </c>
      <c r="G251" s="87" t="s">
        <v>48</v>
      </c>
      <c r="H251" s="78">
        <v>0</v>
      </c>
      <c r="I251" s="78">
        <v>0</v>
      </c>
      <c r="J251" s="78">
        <v>0</v>
      </c>
      <c r="K251" s="78">
        <v>0</v>
      </c>
      <c r="L251" s="78">
        <v>0</v>
      </c>
      <c r="M251" s="78">
        <v>0</v>
      </c>
      <c r="N251" s="78">
        <v>0</v>
      </c>
      <c r="O251" s="78">
        <v>0</v>
      </c>
      <c r="P251" s="78">
        <v>0</v>
      </c>
      <c r="Q251" s="78">
        <v>0</v>
      </c>
      <c r="R251" s="78">
        <v>0</v>
      </c>
      <c r="S251" s="78">
        <v>0</v>
      </c>
      <c r="T251" s="78">
        <v>0</v>
      </c>
      <c r="U251" s="24">
        <f t="shared" si="86"/>
        <v>0</v>
      </c>
      <c r="V251" s="21">
        <f t="shared" si="73"/>
        <v>0</v>
      </c>
    </row>
    <row r="252" spans="1:22" ht="12.75">
      <c r="A252" s="5" t="s">
        <v>42</v>
      </c>
      <c r="B252" s="3" t="s">
        <v>16</v>
      </c>
      <c r="C252" s="164" t="s">
        <v>26</v>
      </c>
      <c r="D252" s="162">
        <v>8220100270</v>
      </c>
      <c r="E252" s="162">
        <v>611</v>
      </c>
      <c r="F252" s="144">
        <v>290</v>
      </c>
      <c r="G252" s="87" t="s">
        <v>89</v>
      </c>
      <c r="H252" s="78">
        <v>113300</v>
      </c>
      <c r="I252" s="78">
        <v>0</v>
      </c>
      <c r="J252" s="78">
        <v>0</v>
      </c>
      <c r="K252" s="78">
        <v>0</v>
      </c>
      <c r="L252" s="78">
        <v>28300</v>
      </c>
      <c r="M252" s="78">
        <v>0</v>
      </c>
      <c r="N252" s="78">
        <v>0</v>
      </c>
      <c r="O252" s="78">
        <v>25000</v>
      </c>
      <c r="P252" s="78">
        <v>0</v>
      </c>
      <c r="Q252" s="78">
        <v>0</v>
      </c>
      <c r="R252" s="78">
        <v>25000</v>
      </c>
      <c r="S252" s="78">
        <v>0</v>
      </c>
      <c r="T252" s="78">
        <v>35000</v>
      </c>
      <c r="U252" s="24">
        <f t="shared" si="86"/>
        <v>113300</v>
      </c>
      <c r="V252" s="21">
        <f t="shared" si="73"/>
        <v>113300</v>
      </c>
    </row>
    <row r="253" spans="1:22" ht="12.75" hidden="1">
      <c r="A253" s="5" t="s">
        <v>42</v>
      </c>
      <c r="B253" s="3" t="s">
        <v>17</v>
      </c>
      <c r="C253" s="128" t="s">
        <v>26</v>
      </c>
      <c r="D253" s="127">
        <v>8220100270</v>
      </c>
      <c r="E253" s="127">
        <v>611</v>
      </c>
      <c r="F253" s="113">
        <v>340</v>
      </c>
      <c r="G253" s="87" t="s">
        <v>48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78">
        <v>0</v>
      </c>
      <c r="Q253" s="78">
        <v>0</v>
      </c>
      <c r="R253" s="78">
        <v>0</v>
      </c>
      <c r="S253" s="78">
        <v>0</v>
      </c>
      <c r="T253" s="78">
        <v>0</v>
      </c>
      <c r="U253" s="24">
        <f t="shared" si="86"/>
        <v>0</v>
      </c>
      <c r="V253" s="21">
        <f t="shared" si="73"/>
        <v>0</v>
      </c>
    </row>
    <row r="254" spans="1:22" ht="12.75" hidden="1">
      <c r="A254" s="5" t="s">
        <v>42</v>
      </c>
      <c r="B254" s="3" t="s">
        <v>18</v>
      </c>
      <c r="C254" s="128" t="s">
        <v>26</v>
      </c>
      <c r="D254" s="127">
        <v>8220100270</v>
      </c>
      <c r="E254" s="127">
        <v>611</v>
      </c>
      <c r="F254" s="113">
        <v>310</v>
      </c>
      <c r="G254" s="87" t="s">
        <v>48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24">
        <f t="shared" si="86"/>
        <v>0</v>
      </c>
      <c r="V254" s="21">
        <f t="shared" si="73"/>
        <v>0</v>
      </c>
    </row>
    <row r="255" spans="1:22" ht="12.75" hidden="1">
      <c r="A255" s="5" t="s">
        <v>42</v>
      </c>
      <c r="B255" s="3" t="s">
        <v>7</v>
      </c>
      <c r="C255" s="128" t="s">
        <v>26</v>
      </c>
      <c r="D255" s="127">
        <v>8220100270</v>
      </c>
      <c r="E255" s="127">
        <v>611</v>
      </c>
      <c r="F255" s="127">
        <v>211</v>
      </c>
      <c r="G255" s="85" t="s">
        <v>78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78">
        <v>0</v>
      </c>
      <c r="Q255" s="78">
        <v>0</v>
      </c>
      <c r="R255" s="78">
        <v>0</v>
      </c>
      <c r="S255" s="78">
        <v>0</v>
      </c>
      <c r="T255" s="78">
        <v>0</v>
      </c>
      <c r="U255" s="24">
        <f t="shared" si="86"/>
        <v>0</v>
      </c>
      <c r="V255" s="21">
        <f t="shared" si="73"/>
        <v>0</v>
      </c>
    </row>
    <row r="256" spans="1:22" ht="12.75" hidden="1">
      <c r="A256" s="5" t="s">
        <v>42</v>
      </c>
      <c r="B256" s="3" t="s">
        <v>9</v>
      </c>
      <c r="C256" s="128" t="s">
        <v>26</v>
      </c>
      <c r="D256" s="127">
        <v>8220100270</v>
      </c>
      <c r="E256" s="127">
        <v>611</v>
      </c>
      <c r="F256" s="127">
        <v>213</v>
      </c>
      <c r="G256" s="85" t="s">
        <v>78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24">
        <f t="shared" si="86"/>
        <v>0</v>
      </c>
      <c r="V256" s="21">
        <f t="shared" si="73"/>
        <v>0</v>
      </c>
    </row>
    <row r="257" spans="1:22" ht="25.5">
      <c r="A257" s="83" t="s">
        <v>42</v>
      </c>
      <c r="B257" s="3" t="s">
        <v>12</v>
      </c>
      <c r="C257" s="164" t="s">
        <v>26</v>
      </c>
      <c r="D257" s="162">
        <v>8220100270</v>
      </c>
      <c r="E257" s="162">
        <v>611</v>
      </c>
      <c r="F257" s="162">
        <v>221</v>
      </c>
      <c r="G257" s="87" t="s">
        <v>79</v>
      </c>
      <c r="H257" s="78">
        <v>51400</v>
      </c>
      <c r="I257" s="78">
        <v>4000</v>
      </c>
      <c r="J257" s="78">
        <v>4300</v>
      </c>
      <c r="K257" s="78">
        <v>4300</v>
      </c>
      <c r="L257" s="78">
        <v>4300</v>
      </c>
      <c r="M257" s="78">
        <v>4300</v>
      </c>
      <c r="N257" s="78">
        <v>4300</v>
      </c>
      <c r="O257" s="78">
        <v>4300</v>
      </c>
      <c r="P257" s="78">
        <v>4300</v>
      </c>
      <c r="Q257" s="78">
        <v>4300</v>
      </c>
      <c r="R257" s="78">
        <v>4300</v>
      </c>
      <c r="S257" s="78">
        <v>4300</v>
      </c>
      <c r="T257" s="78">
        <v>4400</v>
      </c>
      <c r="U257" s="24">
        <f t="shared" si="86"/>
        <v>51400</v>
      </c>
      <c r="V257" s="21">
        <f t="shared" si="73"/>
        <v>51400</v>
      </c>
    </row>
    <row r="258" spans="1:22" ht="25.5">
      <c r="A258" s="83" t="s">
        <v>42</v>
      </c>
      <c r="B258" s="3" t="s">
        <v>12</v>
      </c>
      <c r="C258" s="164" t="s">
        <v>26</v>
      </c>
      <c r="D258" s="162">
        <v>8220100270</v>
      </c>
      <c r="E258" s="162">
        <v>611</v>
      </c>
      <c r="F258" s="162">
        <v>221</v>
      </c>
      <c r="G258" s="87" t="s">
        <v>80</v>
      </c>
      <c r="H258" s="78">
        <v>7200</v>
      </c>
      <c r="I258" s="78">
        <v>600</v>
      </c>
      <c r="J258" s="78">
        <v>600</v>
      </c>
      <c r="K258" s="78">
        <v>600</v>
      </c>
      <c r="L258" s="78">
        <v>600</v>
      </c>
      <c r="M258" s="78">
        <v>600</v>
      </c>
      <c r="N258" s="78">
        <v>600</v>
      </c>
      <c r="O258" s="78">
        <v>600</v>
      </c>
      <c r="P258" s="78">
        <v>600</v>
      </c>
      <c r="Q258" s="78">
        <v>600</v>
      </c>
      <c r="R258" s="78">
        <v>600</v>
      </c>
      <c r="S258" s="78">
        <v>600</v>
      </c>
      <c r="T258" s="78">
        <v>600</v>
      </c>
      <c r="U258" s="24">
        <f t="shared" si="86"/>
        <v>7200</v>
      </c>
      <c r="V258" s="21">
        <f t="shared" si="73"/>
        <v>7200</v>
      </c>
    </row>
    <row r="259" spans="1:22" ht="25.5">
      <c r="A259" s="5" t="s">
        <v>42</v>
      </c>
      <c r="B259" s="3" t="s">
        <v>13</v>
      </c>
      <c r="C259" s="164" t="s">
        <v>26</v>
      </c>
      <c r="D259" s="162">
        <v>8220100270</v>
      </c>
      <c r="E259" s="162">
        <v>611</v>
      </c>
      <c r="F259" s="162">
        <v>223</v>
      </c>
      <c r="G259" s="87" t="s">
        <v>86</v>
      </c>
      <c r="H259" s="78">
        <v>54700</v>
      </c>
      <c r="I259" s="78">
        <v>5000</v>
      </c>
      <c r="J259" s="78">
        <v>5000</v>
      </c>
      <c r="K259" s="78">
        <v>3000</v>
      </c>
      <c r="L259" s="78">
        <v>3000</v>
      </c>
      <c r="M259" s="78">
        <v>3000</v>
      </c>
      <c r="N259" s="78">
        <v>1700</v>
      </c>
      <c r="O259" s="78">
        <v>4000</v>
      </c>
      <c r="P259" s="78">
        <v>4000</v>
      </c>
      <c r="Q259" s="78">
        <v>4000</v>
      </c>
      <c r="R259" s="78">
        <v>5000</v>
      </c>
      <c r="S259" s="78">
        <v>8500</v>
      </c>
      <c r="T259" s="78">
        <v>8500</v>
      </c>
      <c r="U259" s="24">
        <f t="shared" si="86"/>
        <v>54700</v>
      </c>
      <c r="V259" s="21">
        <f t="shared" si="73"/>
        <v>54700</v>
      </c>
    </row>
    <row r="260" spans="1:22" ht="25.5">
      <c r="A260" s="5" t="s">
        <v>42</v>
      </c>
      <c r="B260" s="3" t="s">
        <v>13</v>
      </c>
      <c r="C260" s="164" t="s">
        <v>26</v>
      </c>
      <c r="D260" s="162">
        <v>8220100270</v>
      </c>
      <c r="E260" s="162">
        <v>611</v>
      </c>
      <c r="F260" s="162">
        <v>223</v>
      </c>
      <c r="G260" s="87" t="s">
        <v>87</v>
      </c>
      <c r="H260" s="78">
        <v>5000</v>
      </c>
      <c r="I260" s="78">
        <v>300</v>
      </c>
      <c r="J260" s="78">
        <v>300</v>
      </c>
      <c r="K260" s="78">
        <v>400</v>
      </c>
      <c r="L260" s="78">
        <v>400</v>
      </c>
      <c r="M260" s="78">
        <v>500</v>
      </c>
      <c r="N260" s="78">
        <v>500</v>
      </c>
      <c r="O260" s="78">
        <v>500</v>
      </c>
      <c r="P260" s="78">
        <v>500</v>
      </c>
      <c r="Q260" s="78">
        <v>400</v>
      </c>
      <c r="R260" s="78">
        <v>400</v>
      </c>
      <c r="S260" s="78">
        <v>400</v>
      </c>
      <c r="T260" s="78">
        <v>400</v>
      </c>
      <c r="U260" s="24">
        <f t="shared" si="86"/>
        <v>5000</v>
      </c>
      <c r="V260" s="21">
        <f t="shared" si="73"/>
        <v>5000</v>
      </c>
    </row>
    <row r="261" spans="1:22" ht="25.5">
      <c r="A261" s="5" t="s">
        <v>42</v>
      </c>
      <c r="B261" s="3" t="s">
        <v>13</v>
      </c>
      <c r="C261" s="164" t="s">
        <v>26</v>
      </c>
      <c r="D261" s="162">
        <v>8220100270</v>
      </c>
      <c r="E261" s="162">
        <v>611</v>
      </c>
      <c r="F261" s="162">
        <v>223</v>
      </c>
      <c r="G261" s="87" t="s">
        <v>88</v>
      </c>
      <c r="H261" s="78">
        <v>27000</v>
      </c>
      <c r="I261" s="78">
        <v>4000</v>
      </c>
      <c r="J261" s="78">
        <v>4000</v>
      </c>
      <c r="K261" s="78">
        <v>3000</v>
      </c>
      <c r="L261" s="78">
        <v>3000</v>
      </c>
      <c r="M261" s="78">
        <v>0</v>
      </c>
      <c r="N261" s="78">
        <v>0</v>
      </c>
      <c r="O261" s="78">
        <v>0</v>
      </c>
      <c r="P261" s="78">
        <v>0</v>
      </c>
      <c r="Q261" s="78">
        <v>0</v>
      </c>
      <c r="R261" s="78">
        <v>3000</v>
      </c>
      <c r="S261" s="78">
        <v>4000</v>
      </c>
      <c r="T261" s="78">
        <v>6000</v>
      </c>
      <c r="U261" s="24">
        <f t="shared" si="86"/>
        <v>27000</v>
      </c>
      <c r="V261" s="21">
        <f t="shared" si="73"/>
        <v>27000</v>
      </c>
    </row>
    <row r="262" spans="1:22" ht="25.5" hidden="1">
      <c r="A262" s="5" t="s">
        <v>42</v>
      </c>
      <c r="B262" s="72" t="s">
        <v>71</v>
      </c>
      <c r="C262" s="164" t="s">
        <v>26</v>
      </c>
      <c r="D262" s="162">
        <v>8220100270</v>
      </c>
      <c r="E262" s="162">
        <v>611</v>
      </c>
      <c r="F262" s="162">
        <v>225</v>
      </c>
      <c r="G262" s="85" t="s">
        <v>78</v>
      </c>
      <c r="H262" s="78">
        <v>0</v>
      </c>
      <c r="I262" s="78">
        <v>0</v>
      </c>
      <c r="J262" s="78">
        <v>0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0</v>
      </c>
      <c r="S262" s="78">
        <v>0</v>
      </c>
      <c r="T262" s="78">
        <v>0</v>
      </c>
      <c r="U262" s="24">
        <f t="shared" si="86"/>
        <v>0</v>
      </c>
      <c r="V262" s="21">
        <f t="shared" si="73"/>
        <v>0</v>
      </c>
    </row>
    <row r="263" spans="1:22" ht="17.25" customHeight="1">
      <c r="A263" s="5" t="s">
        <v>42</v>
      </c>
      <c r="B263" s="3" t="s">
        <v>15</v>
      </c>
      <c r="C263" s="164" t="s">
        <v>26</v>
      </c>
      <c r="D263" s="162">
        <v>8220100270</v>
      </c>
      <c r="E263" s="162">
        <v>611</v>
      </c>
      <c r="F263" s="144">
        <v>226</v>
      </c>
      <c r="G263" s="85" t="s">
        <v>78</v>
      </c>
      <c r="H263" s="78">
        <v>80000</v>
      </c>
      <c r="I263" s="78">
        <v>0</v>
      </c>
      <c r="J263" s="78">
        <v>0</v>
      </c>
      <c r="K263" s="78">
        <v>0</v>
      </c>
      <c r="L263" s="78">
        <v>5000</v>
      </c>
      <c r="M263" s="78">
        <v>6000</v>
      </c>
      <c r="N263" s="78">
        <v>0</v>
      </c>
      <c r="O263" s="78">
        <v>8900</v>
      </c>
      <c r="P263" s="78">
        <v>0</v>
      </c>
      <c r="Q263" s="78">
        <v>24500</v>
      </c>
      <c r="R263" s="78">
        <v>18900</v>
      </c>
      <c r="S263" s="78">
        <v>16700</v>
      </c>
      <c r="T263" s="78">
        <v>0</v>
      </c>
      <c r="U263" s="24">
        <f t="shared" si="86"/>
        <v>80000</v>
      </c>
      <c r="V263" s="21">
        <f t="shared" si="73"/>
        <v>80000</v>
      </c>
    </row>
    <row r="264" spans="1:22" ht="25.5">
      <c r="A264" s="5" t="s">
        <v>42</v>
      </c>
      <c r="B264" s="3" t="s">
        <v>16</v>
      </c>
      <c r="C264" s="164" t="s">
        <v>26</v>
      </c>
      <c r="D264" s="162">
        <v>8220100270</v>
      </c>
      <c r="E264" s="162">
        <v>611</v>
      </c>
      <c r="F264" s="153">
        <v>290</v>
      </c>
      <c r="G264" s="87" t="s">
        <v>90</v>
      </c>
      <c r="H264" s="78">
        <v>66600</v>
      </c>
      <c r="I264" s="78">
        <v>0</v>
      </c>
      <c r="J264" s="78">
        <v>0</v>
      </c>
      <c r="K264" s="78">
        <v>0</v>
      </c>
      <c r="L264" s="78">
        <v>16500</v>
      </c>
      <c r="M264" s="78">
        <v>0</v>
      </c>
      <c r="N264" s="78">
        <v>0</v>
      </c>
      <c r="O264" s="78">
        <v>16500</v>
      </c>
      <c r="P264" s="78">
        <v>0</v>
      </c>
      <c r="Q264" s="78">
        <v>0</v>
      </c>
      <c r="R264" s="78">
        <v>16500</v>
      </c>
      <c r="S264" s="78">
        <v>0</v>
      </c>
      <c r="T264" s="78">
        <v>17100</v>
      </c>
      <c r="U264" s="24">
        <f t="shared" si="86"/>
        <v>66600</v>
      </c>
      <c r="V264" s="21">
        <f aca="true" t="shared" si="87" ref="V264:V327">SUM(I264:T264)</f>
        <v>66600</v>
      </c>
    </row>
    <row r="265" spans="1:22" ht="16.5" customHeight="1">
      <c r="A265" s="5" t="s">
        <v>42</v>
      </c>
      <c r="B265" s="3" t="s">
        <v>17</v>
      </c>
      <c r="C265" s="164" t="s">
        <v>26</v>
      </c>
      <c r="D265" s="162">
        <v>8220100270</v>
      </c>
      <c r="E265" s="162">
        <v>611</v>
      </c>
      <c r="F265" s="153">
        <v>340</v>
      </c>
      <c r="G265" s="85" t="s">
        <v>78</v>
      </c>
      <c r="H265" s="78">
        <v>105000</v>
      </c>
      <c r="I265" s="78">
        <v>0</v>
      </c>
      <c r="J265" s="78">
        <v>0</v>
      </c>
      <c r="K265" s="78">
        <v>0</v>
      </c>
      <c r="L265" s="78">
        <v>0</v>
      </c>
      <c r="M265" s="78">
        <v>0</v>
      </c>
      <c r="N265" s="78">
        <v>0</v>
      </c>
      <c r="O265" s="78">
        <v>0</v>
      </c>
      <c r="P265" s="78">
        <v>0</v>
      </c>
      <c r="Q265" s="78">
        <v>0</v>
      </c>
      <c r="R265" s="78">
        <v>0</v>
      </c>
      <c r="S265" s="78">
        <v>34000</v>
      </c>
      <c r="T265" s="78">
        <v>71000</v>
      </c>
      <c r="U265" s="24">
        <f t="shared" si="86"/>
        <v>105000</v>
      </c>
      <c r="V265" s="21">
        <f t="shared" si="87"/>
        <v>105000</v>
      </c>
    </row>
    <row r="266" spans="1:22" ht="15.75" customHeight="1" hidden="1">
      <c r="A266" s="5" t="s">
        <v>42</v>
      </c>
      <c r="B266" s="3" t="s">
        <v>18</v>
      </c>
      <c r="C266" s="128" t="s">
        <v>26</v>
      </c>
      <c r="D266" s="127">
        <v>8220100270</v>
      </c>
      <c r="E266" s="127">
        <v>611</v>
      </c>
      <c r="F266" s="120">
        <v>310</v>
      </c>
      <c r="G266" s="85" t="s">
        <v>78</v>
      </c>
      <c r="H266" s="78">
        <v>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0</v>
      </c>
      <c r="T266" s="78">
        <v>0</v>
      </c>
      <c r="U266" s="24">
        <f t="shared" si="86"/>
        <v>0</v>
      </c>
      <c r="V266" s="21">
        <f t="shared" si="87"/>
        <v>0</v>
      </c>
    </row>
    <row r="267" spans="1:22" ht="12.75" hidden="1">
      <c r="A267" s="5" t="s">
        <v>42</v>
      </c>
      <c r="B267" s="3" t="s">
        <v>7</v>
      </c>
      <c r="C267" s="128" t="s">
        <v>26</v>
      </c>
      <c r="D267" s="127">
        <v>8220100270</v>
      </c>
      <c r="E267" s="127">
        <v>611</v>
      </c>
      <c r="F267" s="127">
        <v>211</v>
      </c>
      <c r="G267" s="85" t="s">
        <v>91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24">
        <f t="shared" si="86"/>
        <v>0</v>
      </c>
      <c r="V267" s="21">
        <f t="shared" si="87"/>
        <v>0</v>
      </c>
    </row>
    <row r="268" spans="1:22" ht="12.75" hidden="1">
      <c r="A268" s="5" t="s">
        <v>42</v>
      </c>
      <c r="B268" s="3" t="s">
        <v>9</v>
      </c>
      <c r="C268" s="128" t="s">
        <v>26</v>
      </c>
      <c r="D268" s="127">
        <v>8220100270</v>
      </c>
      <c r="E268" s="127">
        <v>611</v>
      </c>
      <c r="F268" s="127">
        <v>213</v>
      </c>
      <c r="G268" s="85" t="s">
        <v>91</v>
      </c>
      <c r="H268" s="89">
        <v>0</v>
      </c>
      <c r="I268" s="89">
        <v>0</v>
      </c>
      <c r="J268" s="89">
        <v>0</v>
      </c>
      <c r="K268" s="89">
        <v>0</v>
      </c>
      <c r="L268" s="89">
        <v>0</v>
      </c>
      <c r="M268" s="89">
        <v>0</v>
      </c>
      <c r="N268" s="89">
        <v>0</v>
      </c>
      <c r="O268" s="89">
        <v>0</v>
      </c>
      <c r="P268" s="89">
        <v>0</v>
      </c>
      <c r="Q268" s="89">
        <v>0</v>
      </c>
      <c r="R268" s="89">
        <v>0</v>
      </c>
      <c r="S268" s="89">
        <v>0</v>
      </c>
      <c r="T268" s="89">
        <v>0</v>
      </c>
      <c r="U268" s="24">
        <f t="shared" si="86"/>
        <v>0</v>
      </c>
      <c r="V268" s="21">
        <f t="shared" si="87"/>
        <v>0</v>
      </c>
    </row>
    <row r="269" spans="1:22" ht="12.75">
      <c r="A269" s="5"/>
      <c r="B269" s="88"/>
      <c r="C269" s="128"/>
      <c r="D269" s="127"/>
      <c r="E269" s="127"/>
      <c r="F269" s="127"/>
      <c r="G269" s="86"/>
      <c r="H269" s="89"/>
      <c r="I269" s="89"/>
      <c r="J269" s="89"/>
      <c r="K269" s="89"/>
      <c r="L269" s="89"/>
      <c r="M269" s="89"/>
      <c r="N269" s="89"/>
      <c r="O269" s="89"/>
      <c r="P269" s="89"/>
      <c r="Q269" s="89"/>
      <c r="R269" s="89"/>
      <c r="S269" s="89"/>
      <c r="T269" s="89"/>
      <c r="U269" s="24"/>
      <c r="V269" s="21">
        <f t="shared" si="87"/>
        <v>0</v>
      </c>
    </row>
    <row r="270" spans="1:22" ht="76.5">
      <c r="A270" s="5" t="s">
        <v>42</v>
      </c>
      <c r="B270" s="35" t="s">
        <v>151</v>
      </c>
      <c r="C270" s="148" t="s">
        <v>26</v>
      </c>
      <c r="D270" s="161">
        <v>8230000000</v>
      </c>
      <c r="E270" s="161"/>
      <c r="F270" s="161"/>
      <c r="G270" s="37"/>
      <c r="H270" s="39">
        <f>H271+H272+H273+H274+H275+H276</f>
        <v>3458700</v>
      </c>
      <c r="I270" s="39">
        <f aca="true" t="shared" si="88" ref="I270:T270">I271+I272+I273+I274+I275+I276</f>
        <v>287400</v>
      </c>
      <c r="J270" s="39">
        <f t="shared" si="88"/>
        <v>288300</v>
      </c>
      <c r="K270" s="39">
        <f t="shared" si="88"/>
        <v>288300</v>
      </c>
      <c r="L270" s="39">
        <f t="shared" si="88"/>
        <v>288300</v>
      </c>
      <c r="M270" s="39">
        <f t="shared" si="88"/>
        <v>288300</v>
      </c>
      <c r="N270" s="39">
        <f t="shared" si="88"/>
        <v>288300</v>
      </c>
      <c r="O270" s="39">
        <f t="shared" si="88"/>
        <v>288300</v>
      </c>
      <c r="P270" s="39">
        <f t="shared" si="88"/>
        <v>288300</v>
      </c>
      <c r="Q270" s="39">
        <f t="shared" si="88"/>
        <v>288300</v>
      </c>
      <c r="R270" s="39">
        <f t="shared" si="88"/>
        <v>288300</v>
      </c>
      <c r="S270" s="39">
        <f t="shared" si="88"/>
        <v>288300</v>
      </c>
      <c r="T270" s="39">
        <f t="shared" si="88"/>
        <v>288300</v>
      </c>
      <c r="U270" s="24">
        <f>I270+J270+K270+L270+M270+N270+O270+P270+Q270+R270+S270+T270</f>
        <v>3458700</v>
      </c>
      <c r="V270" s="21">
        <f t="shared" si="87"/>
        <v>3458700</v>
      </c>
    </row>
    <row r="271" spans="1:22" ht="31.5" customHeight="1">
      <c r="A271" s="5" t="s">
        <v>42</v>
      </c>
      <c r="B271" s="3" t="s">
        <v>7</v>
      </c>
      <c r="C271" s="170" t="s">
        <v>26</v>
      </c>
      <c r="D271" s="171">
        <v>8230110410</v>
      </c>
      <c r="E271" s="171">
        <v>611</v>
      </c>
      <c r="F271" s="171">
        <v>211</v>
      </c>
      <c r="G271" s="229" t="s">
        <v>152</v>
      </c>
      <c r="H271" s="89">
        <v>2656500</v>
      </c>
      <c r="I271" s="89">
        <v>221100</v>
      </c>
      <c r="J271" s="89">
        <v>221400</v>
      </c>
      <c r="K271" s="89">
        <v>221400</v>
      </c>
      <c r="L271" s="89">
        <v>221400</v>
      </c>
      <c r="M271" s="89">
        <v>221400</v>
      </c>
      <c r="N271" s="89">
        <v>221400</v>
      </c>
      <c r="O271" s="89">
        <v>221400</v>
      </c>
      <c r="P271" s="89">
        <v>221400</v>
      </c>
      <c r="Q271" s="89">
        <v>221400</v>
      </c>
      <c r="R271" s="89">
        <v>221400</v>
      </c>
      <c r="S271" s="89">
        <v>221400</v>
      </c>
      <c r="T271" s="89">
        <v>221400</v>
      </c>
      <c r="U271" s="24">
        <f>I271+J271+K271+L271+M271+N271+O271+P271+Q271+R271+S271+T271</f>
        <v>2656500</v>
      </c>
      <c r="V271" s="21">
        <f t="shared" si="87"/>
        <v>2656500</v>
      </c>
    </row>
    <row r="272" spans="1:22" ht="36" customHeight="1">
      <c r="A272" s="5" t="s">
        <v>42</v>
      </c>
      <c r="B272" s="3" t="s">
        <v>9</v>
      </c>
      <c r="C272" s="170" t="s">
        <v>26</v>
      </c>
      <c r="D272" s="171">
        <v>8230110410</v>
      </c>
      <c r="E272" s="171">
        <v>611</v>
      </c>
      <c r="F272" s="171">
        <v>213</v>
      </c>
      <c r="G272" s="230"/>
      <c r="H272" s="89">
        <v>802200</v>
      </c>
      <c r="I272" s="89">
        <v>66300</v>
      </c>
      <c r="J272" s="89">
        <v>66900</v>
      </c>
      <c r="K272" s="89">
        <v>66900</v>
      </c>
      <c r="L272" s="89">
        <v>66900</v>
      </c>
      <c r="M272" s="89">
        <v>66900</v>
      </c>
      <c r="N272" s="89">
        <v>66900</v>
      </c>
      <c r="O272" s="89">
        <v>66900</v>
      </c>
      <c r="P272" s="89">
        <v>66900</v>
      </c>
      <c r="Q272" s="89">
        <v>66900</v>
      </c>
      <c r="R272" s="89">
        <v>66900</v>
      </c>
      <c r="S272" s="89">
        <v>66900</v>
      </c>
      <c r="T272" s="89">
        <v>66900</v>
      </c>
      <c r="U272" s="24">
        <f>I272+J272+K272+L272+M272+N272+O272+P272+Q272+R272+S272+T272</f>
        <v>802200</v>
      </c>
      <c r="V272" s="21">
        <f t="shared" si="87"/>
        <v>802200</v>
      </c>
    </row>
    <row r="273" spans="1:22" ht="46.5" customHeight="1" hidden="1">
      <c r="A273" s="5" t="s">
        <v>42</v>
      </c>
      <c r="B273" s="3" t="s">
        <v>7</v>
      </c>
      <c r="C273" s="128" t="s">
        <v>26</v>
      </c>
      <c r="D273" s="127">
        <v>8230110410</v>
      </c>
      <c r="E273" s="127">
        <v>611</v>
      </c>
      <c r="F273" s="127">
        <v>211</v>
      </c>
      <c r="G273" s="229"/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0</v>
      </c>
      <c r="O273" s="89">
        <v>0</v>
      </c>
      <c r="P273" s="89">
        <v>0</v>
      </c>
      <c r="Q273" s="89">
        <v>0</v>
      </c>
      <c r="R273" s="89">
        <v>0</v>
      </c>
      <c r="S273" s="89">
        <v>0</v>
      </c>
      <c r="T273" s="89">
        <v>0</v>
      </c>
      <c r="U273" s="24">
        <f aca="true" t="shared" si="89" ref="U273:U283">I273+J273+K273+L273+M273+N273+O273+P273+Q273+R273+S273+T273</f>
        <v>0</v>
      </c>
      <c r="V273" s="21">
        <f t="shared" si="87"/>
        <v>0</v>
      </c>
    </row>
    <row r="274" spans="1:22" ht="45.75" customHeight="1" hidden="1">
      <c r="A274" s="5" t="s">
        <v>42</v>
      </c>
      <c r="B274" s="3" t="s">
        <v>9</v>
      </c>
      <c r="C274" s="128" t="s">
        <v>26</v>
      </c>
      <c r="D274" s="127">
        <v>8230110410</v>
      </c>
      <c r="E274" s="127">
        <v>611</v>
      </c>
      <c r="F274" s="127">
        <v>213</v>
      </c>
      <c r="G274" s="230"/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24">
        <f t="shared" si="89"/>
        <v>0</v>
      </c>
      <c r="V274" s="21">
        <f t="shared" si="87"/>
        <v>0</v>
      </c>
    </row>
    <row r="275" spans="1:22" ht="67.5" customHeight="1" hidden="1">
      <c r="A275" s="5" t="s">
        <v>42</v>
      </c>
      <c r="B275" s="3" t="s">
        <v>7</v>
      </c>
      <c r="C275" s="128" t="s">
        <v>26</v>
      </c>
      <c r="D275" s="127">
        <v>8230110410</v>
      </c>
      <c r="E275" s="127">
        <v>611</v>
      </c>
      <c r="F275" s="127">
        <v>211</v>
      </c>
      <c r="G275" s="229"/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v>0</v>
      </c>
      <c r="O275" s="89">
        <v>0</v>
      </c>
      <c r="P275" s="89">
        <v>0</v>
      </c>
      <c r="Q275" s="89">
        <v>0</v>
      </c>
      <c r="R275" s="89">
        <v>0</v>
      </c>
      <c r="S275" s="89">
        <v>0</v>
      </c>
      <c r="T275" s="89">
        <v>0</v>
      </c>
      <c r="U275" s="24">
        <f t="shared" si="89"/>
        <v>0</v>
      </c>
      <c r="V275" s="21">
        <f t="shared" si="87"/>
        <v>0</v>
      </c>
    </row>
    <row r="276" spans="1:22" ht="53.25" customHeight="1" hidden="1">
      <c r="A276" s="5" t="s">
        <v>42</v>
      </c>
      <c r="B276" s="3" t="s">
        <v>9</v>
      </c>
      <c r="C276" s="128" t="s">
        <v>26</v>
      </c>
      <c r="D276" s="127">
        <v>8230110410</v>
      </c>
      <c r="E276" s="127">
        <v>611</v>
      </c>
      <c r="F276" s="127">
        <v>213</v>
      </c>
      <c r="G276" s="230"/>
      <c r="H276" s="89">
        <v>0</v>
      </c>
      <c r="I276" s="89">
        <v>0</v>
      </c>
      <c r="J276" s="89">
        <v>0</v>
      </c>
      <c r="K276" s="89">
        <v>0</v>
      </c>
      <c r="L276" s="89">
        <v>0</v>
      </c>
      <c r="M276" s="89">
        <v>0</v>
      </c>
      <c r="N276" s="89">
        <v>0</v>
      </c>
      <c r="O276" s="89">
        <v>0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24">
        <f t="shared" si="89"/>
        <v>0</v>
      </c>
      <c r="V276" s="21">
        <f t="shared" si="87"/>
        <v>0</v>
      </c>
    </row>
    <row r="277" spans="1:22" ht="12.75" hidden="1">
      <c r="A277" s="5"/>
      <c r="B277" s="88"/>
      <c r="C277" s="128"/>
      <c r="D277" s="127"/>
      <c r="E277" s="127"/>
      <c r="F277" s="127"/>
      <c r="G277" s="86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24">
        <f t="shared" si="89"/>
        <v>0</v>
      </c>
      <c r="V277" s="21">
        <f t="shared" si="87"/>
        <v>0</v>
      </c>
    </row>
    <row r="278" spans="1:22" ht="12.75" hidden="1">
      <c r="A278" s="5"/>
      <c r="B278" s="88"/>
      <c r="C278" s="128"/>
      <c r="D278" s="127"/>
      <c r="E278" s="127"/>
      <c r="F278" s="127"/>
      <c r="G278" s="86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24">
        <f t="shared" si="89"/>
        <v>0</v>
      </c>
      <c r="V278" s="21">
        <f t="shared" si="87"/>
        <v>0</v>
      </c>
    </row>
    <row r="279" spans="1:22" ht="12.75" hidden="1">
      <c r="A279" s="5"/>
      <c r="B279" s="88"/>
      <c r="C279" s="128"/>
      <c r="D279" s="127"/>
      <c r="E279" s="127"/>
      <c r="F279" s="127"/>
      <c r="G279" s="86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24">
        <f t="shared" si="89"/>
        <v>0</v>
      </c>
      <c r="V279" s="21">
        <f t="shared" si="87"/>
        <v>0</v>
      </c>
    </row>
    <row r="280" spans="1:22" ht="12.75" hidden="1">
      <c r="A280" s="5"/>
      <c r="B280" s="88"/>
      <c r="C280" s="128"/>
      <c r="D280" s="127"/>
      <c r="E280" s="127"/>
      <c r="F280" s="127"/>
      <c r="G280" s="86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24">
        <f t="shared" si="89"/>
        <v>0</v>
      </c>
      <c r="V280" s="21">
        <f t="shared" si="87"/>
        <v>0</v>
      </c>
    </row>
    <row r="281" spans="1:22" ht="12.75" hidden="1">
      <c r="A281" s="5"/>
      <c r="B281" s="88"/>
      <c r="C281" s="128"/>
      <c r="D281" s="127"/>
      <c r="E281" s="127"/>
      <c r="F281" s="127"/>
      <c r="G281" s="86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24">
        <f t="shared" si="89"/>
        <v>0</v>
      </c>
      <c r="V281" s="21">
        <f t="shared" si="87"/>
        <v>0</v>
      </c>
    </row>
    <row r="282" spans="1:22" ht="12.75" hidden="1">
      <c r="A282" s="5"/>
      <c r="B282" s="88"/>
      <c r="C282" s="128"/>
      <c r="D282" s="127"/>
      <c r="E282" s="127"/>
      <c r="F282" s="127"/>
      <c r="G282" s="86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24">
        <f t="shared" si="89"/>
        <v>0</v>
      </c>
      <c r="V282" s="21">
        <f t="shared" si="87"/>
        <v>0</v>
      </c>
    </row>
    <row r="283" spans="1:22" ht="12.75" hidden="1">
      <c r="A283" s="5"/>
      <c r="B283" s="88"/>
      <c r="C283" s="128"/>
      <c r="D283" s="127"/>
      <c r="E283" s="127"/>
      <c r="F283" s="127"/>
      <c r="G283" s="86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24">
        <f t="shared" si="89"/>
        <v>0</v>
      </c>
      <c r="V283" s="21">
        <f t="shared" si="87"/>
        <v>0</v>
      </c>
    </row>
    <row r="284" spans="1:22" ht="12.75">
      <c r="A284" s="5"/>
      <c r="B284" s="88"/>
      <c r="C284" s="128"/>
      <c r="D284" s="127"/>
      <c r="E284" s="127"/>
      <c r="F284" s="127"/>
      <c r="G284" s="86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24"/>
      <c r="V284" s="21">
        <f t="shared" si="87"/>
        <v>0</v>
      </c>
    </row>
    <row r="285" spans="1:22" ht="76.5">
      <c r="A285" s="5" t="s">
        <v>42</v>
      </c>
      <c r="B285" s="35" t="s">
        <v>153</v>
      </c>
      <c r="C285" s="148" t="s">
        <v>26</v>
      </c>
      <c r="D285" s="161">
        <v>8240000000</v>
      </c>
      <c r="E285" s="161"/>
      <c r="F285" s="161"/>
      <c r="G285" s="37"/>
      <c r="H285" s="39">
        <f aca="true" t="shared" si="90" ref="H285:T285">H286</f>
        <v>414700</v>
      </c>
      <c r="I285" s="39">
        <f t="shared" si="90"/>
        <v>30800</v>
      </c>
      <c r="J285" s="39">
        <f t="shared" si="90"/>
        <v>13000</v>
      </c>
      <c r="K285" s="39">
        <f t="shared" si="90"/>
        <v>17800</v>
      </c>
      <c r="L285" s="39">
        <f t="shared" si="90"/>
        <v>20800</v>
      </c>
      <c r="M285" s="39">
        <f t="shared" si="90"/>
        <v>30800</v>
      </c>
      <c r="N285" s="39">
        <f t="shared" si="90"/>
        <v>10800</v>
      </c>
      <c r="O285" s="39">
        <f t="shared" si="90"/>
        <v>20300</v>
      </c>
      <c r="P285" s="39">
        <f t="shared" si="90"/>
        <v>20800</v>
      </c>
      <c r="Q285" s="39">
        <f t="shared" si="90"/>
        <v>20800</v>
      </c>
      <c r="R285" s="39">
        <f t="shared" si="90"/>
        <v>73200</v>
      </c>
      <c r="S285" s="39">
        <f t="shared" si="90"/>
        <v>61600</v>
      </c>
      <c r="T285" s="39">
        <f t="shared" si="90"/>
        <v>94000</v>
      </c>
      <c r="U285" s="24">
        <f>I285+J285+K285+L285+M285+N285+O285+P285+Q285+R285+S285+T285</f>
        <v>414700</v>
      </c>
      <c r="V285" s="21">
        <f t="shared" si="87"/>
        <v>414700</v>
      </c>
    </row>
    <row r="286" spans="1:22" ht="12.75">
      <c r="A286" s="5" t="s">
        <v>42</v>
      </c>
      <c r="B286" s="3" t="s">
        <v>16</v>
      </c>
      <c r="C286" s="170" t="s">
        <v>26</v>
      </c>
      <c r="D286" s="171">
        <v>8240100320</v>
      </c>
      <c r="E286" s="171">
        <v>611</v>
      </c>
      <c r="F286" s="151">
        <v>290</v>
      </c>
      <c r="G286" s="86"/>
      <c r="H286" s="89">
        <v>414700</v>
      </c>
      <c r="I286" s="89">
        <v>30800</v>
      </c>
      <c r="J286" s="89">
        <v>13000</v>
      </c>
      <c r="K286" s="89">
        <v>17800</v>
      </c>
      <c r="L286" s="89">
        <v>20800</v>
      </c>
      <c r="M286" s="89">
        <v>30800</v>
      </c>
      <c r="N286" s="89">
        <v>10800</v>
      </c>
      <c r="O286" s="89">
        <v>20300</v>
      </c>
      <c r="P286" s="89">
        <v>20800</v>
      </c>
      <c r="Q286" s="89">
        <v>20800</v>
      </c>
      <c r="R286" s="89">
        <v>73200</v>
      </c>
      <c r="S286" s="89">
        <v>61600</v>
      </c>
      <c r="T286" s="89">
        <v>94000</v>
      </c>
      <c r="U286" s="24">
        <f>I286+J286+K286+L286+M286+N286+O286+P286+Q286+R286+S286+T286</f>
        <v>414700</v>
      </c>
      <c r="V286" s="21">
        <f t="shared" si="87"/>
        <v>414700</v>
      </c>
    </row>
    <row r="287" spans="1:22" ht="12.75">
      <c r="A287" s="5"/>
      <c r="B287" s="88"/>
      <c r="C287" s="128"/>
      <c r="D287" s="127"/>
      <c r="E287" s="127"/>
      <c r="F287" s="113"/>
      <c r="G287" s="86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24"/>
      <c r="V287" s="21">
        <f t="shared" si="87"/>
        <v>0</v>
      </c>
    </row>
    <row r="288" spans="1:22" ht="38.25">
      <c r="A288" s="5" t="s">
        <v>42</v>
      </c>
      <c r="B288" s="90" t="s">
        <v>92</v>
      </c>
      <c r="C288" s="164" t="s">
        <v>26</v>
      </c>
      <c r="D288" s="162">
        <v>9410000000</v>
      </c>
      <c r="E288" s="162"/>
      <c r="F288" s="144"/>
      <c r="G288" s="86"/>
      <c r="H288" s="39">
        <f aca="true" t="shared" si="91" ref="H288:T288">H289</f>
        <v>100000</v>
      </c>
      <c r="I288" s="77">
        <f t="shared" si="91"/>
        <v>0</v>
      </c>
      <c r="J288" s="77">
        <f t="shared" si="91"/>
        <v>0</v>
      </c>
      <c r="K288" s="77">
        <f t="shared" si="91"/>
        <v>0</v>
      </c>
      <c r="L288" s="77">
        <f t="shared" si="91"/>
        <v>0</v>
      </c>
      <c r="M288" s="77">
        <f t="shared" si="91"/>
        <v>0</v>
      </c>
      <c r="N288" s="77">
        <f t="shared" si="91"/>
        <v>0</v>
      </c>
      <c r="O288" s="77">
        <f t="shared" si="91"/>
        <v>0</v>
      </c>
      <c r="P288" s="77">
        <f t="shared" si="91"/>
        <v>0</v>
      </c>
      <c r="Q288" s="77">
        <f t="shared" si="91"/>
        <v>0</v>
      </c>
      <c r="R288" s="77">
        <f t="shared" si="91"/>
        <v>0</v>
      </c>
      <c r="S288" s="77">
        <f t="shared" si="91"/>
        <v>0</v>
      </c>
      <c r="T288" s="77">
        <f t="shared" si="91"/>
        <v>100000</v>
      </c>
      <c r="U288" s="24">
        <f aca="true" t="shared" si="92" ref="U288:U295">I288+J288+K288+L288+M288+N288+O288+P288+Q288+R288+S288+T288</f>
        <v>100000</v>
      </c>
      <c r="V288" s="21">
        <f t="shared" si="87"/>
        <v>100000</v>
      </c>
    </row>
    <row r="289" spans="1:22" ht="12.75">
      <c r="A289" s="5" t="s">
        <v>42</v>
      </c>
      <c r="B289" s="3" t="s">
        <v>18</v>
      </c>
      <c r="C289" s="164" t="s">
        <v>26</v>
      </c>
      <c r="D289" s="162">
        <v>9410051440</v>
      </c>
      <c r="E289" s="162">
        <v>540</v>
      </c>
      <c r="F289" s="162">
        <v>310</v>
      </c>
      <c r="G289" s="86"/>
      <c r="H289" s="89">
        <v>100000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0</v>
      </c>
      <c r="S289" s="89">
        <v>0</v>
      </c>
      <c r="T289" s="89">
        <v>100000</v>
      </c>
      <c r="U289" s="24">
        <f t="shared" si="92"/>
        <v>100000</v>
      </c>
      <c r="V289" s="21">
        <f t="shared" si="87"/>
        <v>100000</v>
      </c>
    </row>
    <row r="290" spans="1:22" ht="12.75">
      <c r="A290" s="5"/>
      <c r="B290" s="88"/>
      <c r="C290" s="128"/>
      <c r="D290" s="127"/>
      <c r="E290" s="127"/>
      <c r="F290" s="127"/>
      <c r="G290" s="86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24"/>
      <c r="V290" s="21">
        <f t="shared" si="87"/>
        <v>0</v>
      </c>
    </row>
    <row r="291" spans="1:22" ht="89.25">
      <c r="A291" s="5" t="s">
        <v>42</v>
      </c>
      <c r="B291" s="35" t="s">
        <v>154</v>
      </c>
      <c r="C291" s="148" t="s">
        <v>26</v>
      </c>
      <c r="D291" s="161">
        <v>8400000000</v>
      </c>
      <c r="E291" s="161"/>
      <c r="F291" s="161"/>
      <c r="G291" s="37"/>
      <c r="H291" s="39">
        <f aca="true" t="shared" si="93" ref="H291:T291">H292</f>
        <v>10000</v>
      </c>
      <c r="I291" s="39">
        <f t="shared" si="93"/>
        <v>0</v>
      </c>
      <c r="J291" s="39">
        <f t="shared" si="93"/>
        <v>0</v>
      </c>
      <c r="K291" s="39">
        <f t="shared" si="93"/>
        <v>0</v>
      </c>
      <c r="L291" s="39">
        <f t="shared" si="93"/>
        <v>0</v>
      </c>
      <c r="M291" s="39">
        <f t="shared" si="93"/>
        <v>0</v>
      </c>
      <c r="N291" s="39">
        <f t="shared" si="93"/>
        <v>0</v>
      </c>
      <c r="O291" s="39">
        <f t="shared" si="93"/>
        <v>0</v>
      </c>
      <c r="P291" s="39">
        <f t="shared" si="93"/>
        <v>0</v>
      </c>
      <c r="Q291" s="39">
        <f t="shared" si="93"/>
        <v>0</v>
      </c>
      <c r="R291" s="39">
        <f t="shared" si="93"/>
        <v>0</v>
      </c>
      <c r="S291" s="39">
        <f t="shared" si="93"/>
        <v>10000</v>
      </c>
      <c r="T291" s="39">
        <f t="shared" si="93"/>
        <v>0</v>
      </c>
      <c r="U291" s="24">
        <f t="shared" si="92"/>
        <v>10000</v>
      </c>
      <c r="V291" s="21">
        <f t="shared" si="87"/>
        <v>10000</v>
      </c>
    </row>
    <row r="292" spans="1:22" ht="12.75">
      <c r="A292" s="5" t="s">
        <v>42</v>
      </c>
      <c r="B292" s="3" t="s">
        <v>16</v>
      </c>
      <c r="C292" s="170" t="s">
        <v>26</v>
      </c>
      <c r="D292" s="171">
        <v>8410110290</v>
      </c>
      <c r="E292" s="171">
        <v>611</v>
      </c>
      <c r="F292" s="171">
        <v>290</v>
      </c>
      <c r="G292" s="86"/>
      <c r="H292" s="89">
        <v>10000</v>
      </c>
      <c r="I292" s="89">
        <v>0</v>
      </c>
      <c r="J292" s="89">
        <v>0</v>
      </c>
      <c r="K292" s="89">
        <v>0</v>
      </c>
      <c r="L292" s="89">
        <v>0</v>
      </c>
      <c r="M292" s="89">
        <v>0</v>
      </c>
      <c r="N292" s="89">
        <v>0</v>
      </c>
      <c r="O292" s="89">
        <v>0</v>
      </c>
      <c r="P292" s="89">
        <v>0</v>
      </c>
      <c r="Q292" s="89">
        <v>0</v>
      </c>
      <c r="R292" s="89">
        <v>0</v>
      </c>
      <c r="S292" s="89">
        <v>10000</v>
      </c>
      <c r="T292" s="89">
        <v>0</v>
      </c>
      <c r="U292" s="24">
        <f t="shared" si="92"/>
        <v>10000</v>
      </c>
      <c r="V292" s="21">
        <f t="shared" si="87"/>
        <v>10000</v>
      </c>
    </row>
    <row r="293" spans="1:22" ht="12.75">
      <c r="A293" s="5"/>
      <c r="B293" s="88"/>
      <c r="C293" s="128"/>
      <c r="D293" s="127"/>
      <c r="E293" s="127"/>
      <c r="F293" s="127"/>
      <c r="G293" s="86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24"/>
      <c r="V293" s="21">
        <f t="shared" si="87"/>
        <v>0</v>
      </c>
    </row>
    <row r="294" spans="1:22" ht="140.25">
      <c r="A294" s="5" t="s">
        <v>42</v>
      </c>
      <c r="B294" s="35" t="s">
        <v>155</v>
      </c>
      <c r="C294" s="148" t="s">
        <v>26</v>
      </c>
      <c r="D294" s="161">
        <v>8500000000</v>
      </c>
      <c r="E294" s="161"/>
      <c r="F294" s="161"/>
      <c r="G294" s="37"/>
      <c r="H294" s="39">
        <f aca="true" t="shared" si="94" ref="H294:T294">H295</f>
        <v>50000</v>
      </c>
      <c r="I294" s="39">
        <f t="shared" si="94"/>
        <v>0</v>
      </c>
      <c r="J294" s="39">
        <f t="shared" si="94"/>
        <v>0</v>
      </c>
      <c r="K294" s="39">
        <f t="shared" si="94"/>
        <v>0</v>
      </c>
      <c r="L294" s="39">
        <f t="shared" si="94"/>
        <v>50000</v>
      </c>
      <c r="M294" s="39">
        <f t="shared" si="94"/>
        <v>0</v>
      </c>
      <c r="N294" s="39">
        <f t="shared" si="94"/>
        <v>0</v>
      </c>
      <c r="O294" s="39">
        <f t="shared" si="94"/>
        <v>0</v>
      </c>
      <c r="P294" s="39">
        <f t="shared" si="94"/>
        <v>0</v>
      </c>
      <c r="Q294" s="39">
        <f t="shared" si="94"/>
        <v>0</v>
      </c>
      <c r="R294" s="39">
        <f t="shared" si="94"/>
        <v>0</v>
      </c>
      <c r="S294" s="39">
        <f t="shared" si="94"/>
        <v>0</v>
      </c>
      <c r="T294" s="39">
        <f t="shared" si="94"/>
        <v>0</v>
      </c>
      <c r="U294" s="24">
        <f t="shared" si="92"/>
        <v>50000</v>
      </c>
      <c r="V294" s="21">
        <f t="shared" si="87"/>
        <v>50000</v>
      </c>
    </row>
    <row r="295" spans="1:22" ht="25.5">
      <c r="A295" s="5" t="s">
        <v>42</v>
      </c>
      <c r="B295" s="72" t="s">
        <v>71</v>
      </c>
      <c r="C295" s="170" t="s">
        <v>26</v>
      </c>
      <c r="D295" s="171">
        <v>8510110310</v>
      </c>
      <c r="E295" s="171">
        <v>244</v>
      </c>
      <c r="F295" s="171">
        <v>225</v>
      </c>
      <c r="G295" s="86"/>
      <c r="H295" s="78">
        <v>50000</v>
      </c>
      <c r="I295" s="78">
        <v>0</v>
      </c>
      <c r="J295" s="78">
        <v>0</v>
      </c>
      <c r="K295" s="78">
        <v>0</v>
      </c>
      <c r="L295" s="78">
        <v>50000</v>
      </c>
      <c r="M295" s="78">
        <v>0</v>
      </c>
      <c r="N295" s="78">
        <v>0</v>
      </c>
      <c r="O295" s="78">
        <v>0</v>
      </c>
      <c r="P295" s="78">
        <v>0</v>
      </c>
      <c r="Q295" s="78">
        <v>0</v>
      </c>
      <c r="R295" s="78">
        <v>0</v>
      </c>
      <c r="S295" s="78">
        <v>0</v>
      </c>
      <c r="T295" s="78">
        <v>0</v>
      </c>
      <c r="U295" s="24">
        <f t="shared" si="92"/>
        <v>50000</v>
      </c>
      <c r="V295" s="21">
        <f t="shared" si="87"/>
        <v>50000</v>
      </c>
    </row>
    <row r="296" spans="1:22" ht="12.75">
      <c r="A296" s="5"/>
      <c r="B296" s="88"/>
      <c r="C296" s="128"/>
      <c r="D296" s="127"/>
      <c r="E296" s="127"/>
      <c r="F296" s="127"/>
      <c r="G296" s="86"/>
      <c r="H296" s="89"/>
      <c r="I296" s="89"/>
      <c r="J296" s="89"/>
      <c r="K296" s="89"/>
      <c r="L296" s="89"/>
      <c r="M296" s="89"/>
      <c r="N296" s="89"/>
      <c r="O296" s="89"/>
      <c r="P296" s="89"/>
      <c r="Q296" s="89"/>
      <c r="R296" s="89"/>
      <c r="S296" s="89"/>
      <c r="T296" s="89"/>
      <c r="U296" s="24"/>
      <c r="V296" s="21">
        <f t="shared" si="87"/>
        <v>0</v>
      </c>
    </row>
    <row r="297" spans="1:22" ht="12.75">
      <c r="A297" s="5"/>
      <c r="B297" s="29" t="s">
        <v>53</v>
      </c>
      <c r="C297" s="180" t="s">
        <v>26</v>
      </c>
      <c r="D297" s="127"/>
      <c r="E297" s="127"/>
      <c r="F297" s="127"/>
      <c r="G297" s="86"/>
      <c r="H297" s="92">
        <f aca="true" t="shared" si="95" ref="H297:T297">H294+H291+H288+H237</f>
        <v>12409900</v>
      </c>
      <c r="I297" s="91">
        <f t="shared" si="95"/>
        <v>995900</v>
      </c>
      <c r="J297" s="91">
        <f t="shared" si="95"/>
        <v>955190</v>
      </c>
      <c r="K297" s="91">
        <f t="shared" si="95"/>
        <v>973290</v>
      </c>
      <c r="L297" s="91">
        <f t="shared" si="95"/>
        <v>1081890</v>
      </c>
      <c r="M297" s="91">
        <f t="shared" si="95"/>
        <v>952790</v>
      </c>
      <c r="N297" s="91">
        <f t="shared" si="95"/>
        <v>914650</v>
      </c>
      <c r="O297" s="91">
        <f t="shared" si="95"/>
        <v>978790</v>
      </c>
      <c r="P297" s="91">
        <f t="shared" si="95"/>
        <v>928790</v>
      </c>
      <c r="Q297" s="91">
        <f t="shared" si="95"/>
        <v>957690</v>
      </c>
      <c r="R297" s="91">
        <f t="shared" si="95"/>
        <v>1111630</v>
      </c>
      <c r="S297" s="91">
        <f t="shared" si="95"/>
        <v>1157390</v>
      </c>
      <c r="T297" s="91">
        <f t="shared" si="95"/>
        <v>1401900</v>
      </c>
      <c r="U297" s="24">
        <f>I297+J297+K297+L297+M297+N297+O297+P297+Q297+R297+S297+T297</f>
        <v>12409900</v>
      </c>
      <c r="V297" s="21">
        <f t="shared" si="87"/>
        <v>12409900</v>
      </c>
    </row>
    <row r="298" spans="1:22" ht="12.75">
      <c r="A298" s="5"/>
      <c r="B298" s="88"/>
      <c r="C298" s="128"/>
      <c r="D298" s="127"/>
      <c r="E298" s="127"/>
      <c r="F298" s="127"/>
      <c r="G298" s="86"/>
      <c r="H298" s="89"/>
      <c r="I298" s="89"/>
      <c r="J298" s="89"/>
      <c r="K298" s="89"/>
      <c r="L298" s="89"/>
      <c r="M298" s="89"/>
      <c r="N298" s="89"/>
      <c r="O298" s="89"/>
      <c r="P298" s="89"/>
      <c r="Q298" s="89"/>
      <c r="R298" s="89"/>
      <c r="S298" s="89"/>
      <c r="T298" s="89"/>
      <c r="U298" s="24"/>
      <c r="V298" s="21">
        <f t="shared" si="87"/>
        <v>0</v>
      </c>
    </row>
    <row r="299" spans="1:22" ht="12.75">
      <c r="A299" s="53"/>
      <c r="B299" s="54" t="s">
        <v>93</v>
      </c>
      <c r="C299" s="141"/>
      <c r="D299" s="140"/>
      <c r="E299" s="140"/>
      <c r="F299" s="140"/>
      <c r="G299" s="93"/>
      <c r="H299" s="94">
        <f aca="true" t="shared" si="96" ref="H299:T299">H297</f>
        <v>12409900</v>
      </c>
      <c r="I299" s="94">
        <f t="shared" si="96"/>
        <v>995900</v>
      </c>
      <c r="J299" s="94">
        <f t="shared" si="96"/>
        <v>955190</v>
      </c>
      <c r="K299" s="94">
        <f t="shared" si="96"/>
        <v>973290</v>
      </c>
      <c r="L299" s="94">
        <f t="shared" si="96"/>
        <v>1081890</v>
      </c>
      <c r="M299" s="94">
        <f t="shared" si="96"/>
        <v>952790</v>
      </c>
      <c r="N299" s="94">
        <f t="shared" si="96"/>
        <v>914650</v>
      </c>
      <c r="O299" s="94">
        <f t="shared" si="96"/>
        <v>978790</v>
      </c>
      <c r="P299" s="94">
        <f t="shared" si="96"/>
        <v>928790</v>
      </c>
      <c r="Q299" s="94">
        <f t="shared" si="96"/>
        <v>957690</v>
      </c>
      <c r="R299" s="94">
        <f t="shared" si="96"/>
        <v>1111630</v>
      </c>
      <c r="S299" s="94">
        <f t="shared" si="96"/>
        <v>1157390</v>
      </c>
      <c r="T299" s="94">
        <f t="shared" si="96"/>
        <v>1401900</v>
      </c>
      <c r="U299" s="24">
        <f>I299+J299+K299+L299+M299+N299+O299+P299+Q299+R299+S299+T299</f>
        <v>12409900</v>
      </c>
      <c r="V299" s="199">
        <f t="shared" si="87"/>
        <v>12409900</v>
      </c>
    </row>
    <row r="300" spans="1:22" ht="12.75">
      <c r="A300" s="5"/>
      <c r="B300" s="88"/>
      <c r="C300" s="128"/>
      <c r="D300" s="127"/>
      <c r="E300" s="127"/>
      <c r="F300" s="127"/>
      <c r="G300" s="86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24"/>
      <c r="V300" s="21">
        <f t="shared" si="87"/>
        <v>0</v>
      </c>
    </row>
    <row r="301" spans="1:22" ht="114.75">
      <c r="A301" s="5" t="s">
        <v>42</v>
      </c>
      <c r="B301" s="35" t="s">
        <v>156</v>
      </c>
      <c r="C301" s="148" t="s">
        <v>50</v>
      </c>
      <c r="D301" s="161">
        <v>8600000000</v>
      </c>
      <c r="E301" s="161"/>
      <c r="F301" s="161"/>
      <c r="G301" s="37"/>
      <c r="H301" s="39">
        <f aca="true" t="shared" si="97" ref="H301:T301">H302</f>
        <v>209300</v>
      </c>
      <c r="I301" s="39">
        <f t="shared" si="97"/>
        <v>17400</v>
      </c>
      <c r="J301" s="39">
        <f t="shared" si="97"/>
        <v>17400</v>
      </c>
      <c r="K301" s="39">
        <f t="shared" si="97"/>
        <v>17400</v>
      </c>
      <c r="L301" s="39">
        <f t="shared" si="97"/>
        <v>17400</v>
      </c>
      <c r="M301" s="39">
        <f t="shared" si="97"/>
        <v>17400</v>
      </c>
      <c r="N301" s="39">
        <f t="shared" si="97"/>
        <v>17400</v>
      </c>
      <c r="O301" s="39">
        <f t="shared" si="97"/>
        <v>17400</v>
      </c>
      <c r="P301" s="39">
        <f t="shared" si="97"/>
        <v>17400</v>
      </c>
      <c r="Q301" s="39">
        <f t="shared" si="97"/>
        <v>17400</v>
      </c>
      <c r="R301" s="39">
        <f t="shared" si="97"/>
        <v>17400</v>
      </c>
      <c r="S301" s="39">
        <f t="shared" si="97"/>
        <v>17400</v>
      </c>
      <c r="T301" s="39">
        <f t="shared" si="97"/>
        <v>17900</v>
      </c>
      <c r="U301" s="24">
        <f>I301+J301+K301+L301+M301+N301+O301+P301+Q301+R301+S301+T301</f>
        <v>209300</v>
      </c>
      <c r="V301" s="21">
        <f t="shared" si="87"/>
        <v>209300</v>
      </c>
    </row>
    <row r="302" spans="1:22" ht="51">
      <c r="A302" s="5" t="s">
        <v>42</v>
      </c>
      <c r="B302" s="8" t="s">
        <v>49</v>
      </c>
      <c r="C302" s="170" t="s">
        <v>50</v>
      </c>
      <c r="D302" s="171">
        <v>8610141210</v>
      </c>
      <c r="E302" s="171">
        <v>312</v>
      </c>
      <c r="F302" s="171">
        <v>263</v>
      </c>
      <c r="G302" s="86"/>
      <c r="H302" s="78">
        <v>209300</v>
      </c>
      <c r="I302" s="78">
        <v>17400</v>
      </c>
      <c r="J302" s="78">
        <v>17400</v>
      </c>
      <c r="K302" s="78">
        <v>17400</v>
      </c>
      <c r="L302" s="78">
        <v>17400</v>
      </c>
      <c r="M302" s="78">
        <v>17400</v>
      </c>
      <c r="N302" s="78">
        <v>17400</v>
      </c>
      <c r="O302" s="78">
        <v>17400</v>
      </c>
      <c r="P302" s="78">
        <v>17400</v>
      </c>
      <c r="Q302" s="78">
        <v>17400</v>
      </c>
      <c r="R302" s="78">
        <v>17400</v>
      </c>
      <c r="S302" s="78">
        <v>17400</v>
      </c>
      <c r="T302" s="78">
        <v>17900</v>
      </c>
      <c r="U302" s="24">
        <f>I302+J302+K302+L302+M302+N302+O302+P302+Q302+R302+S302+T302</f>
        <v>209300</v>
      </c>
      <c r="V302" s="21">
        <f t="shared" si="87"/>
        <v>209300</v>
      </c>
    </row>
    <row r="303" spans="1:22" ht="12.75">
      <c r="A303" s="5"/>
      <c r="B303" s="88"/>
      <c r="C303" s="128"/>
      <c r="D303" s="127"/>
      <c r="E303" s="127"/>
      <c r="F303" s="127"/>
      <c r="G303" s="86"/>
      <c r="H303" s="89"/>
      <c r="I303" s="89"/>
      <c r="J303" s="89"/>
      <c r="K303" s="89"/>
      <c r="L303" s="89"/>
      <c r="M303" s="89"/>
      <c r="N303" s="89"/>
      <c r="O303" s="89"/>
      <c r="P303" s="89"/>
      <c r="Q303" s="89"/>
      <c r="R303" s="89"/>
      <c r="S303" s="89"/>
      <c r="T303" s="89"/>
      <c r="U303" s="24"/>
      <c r="V303" s="21">
        <f t="shared" si="87"/>
        <v>0</v>
      </c>
    </row>
    <row r="304" spans="1:22" ht="12.75">
      <c r="A304" s="5"/>
      <c r="B304" s="29" t="s">
        <v>53</v>
      </c>
      <c r="C304" s="180" t="s">
        <v>50</v>
      </c>
      <c r="D304" s="127"/>
      <c r="E304" s="127"/>
      <c r="F304" s="127"/>
      <c r="G304" s="86"/>
      <c r="H304" s="92">
        <f aca="true" t="shared" si="98" ref="H304:T304">H301</f>
        <v>209300</v>
      </c>
      <c r="I304" s="91">
        <f t="shared" si="98"/>
        <v>17400</v>
      </c>
      <c r="J304" s="91">
        <f t="shared" si="98"/>
        <v>17400</v>
      </c>
      <c r="K304" s="91">
        <f t="shared" si="98"/>
        <v>17400</v>
      </c>
      <c r="L304" s="91">
        <f t="shared" si="98"/>
        <v>17400</v>
      </c>
      <c r="M304" s="91">
        <f t="shared" si="98"/>
        <v>17400</v>
      </c>
      <c r="N304" s="91">
        <f t="shared" si="98"/>
        <v>17400</v>
      </c>
      <c r="O304" s="91">
        <f t="shared" si="98"/>
        <v>17400</v>
      </c>
      <c r="P304" s="91">
        <f t="shared" si="98"/>
        <v>17400</v>
      </c>
      <c r="Q304" s="91">
        <f t="shared" si="98"/>
        <v>17400</v>
      </c>
      <c r="R304" s="91">
        <f t="shared" si="98"/>
        <v>17400</v>
      </c>
      <c r="S304" s="91">
        <f t="shared" si="98"/>
        <v>17400</v>
      </c>
      <c r="T304" s="91">
        <f t="shared" si="98"/>
        <v>17900</v>
      </c>
      <c r="U304" s="24">
        <f>I304+J304+K304+L304+M304+N304+O304+P304+Q304+R304+S304+T304</f>
        <v>209300</v>
      </c>
      <c r="V304" s="21">
        <f t="shared" si="87"/>
        <v>209300</v>
      </c>
    </row>
    <row r="305" spans="1:22" ht="12.75">
      <c r="A305" s="5"/>
      <c r="B305" s="76"/>
      <c r="C305" s="136"/>
      <c r="D305" s="127"/>
      <c r="E305" s="127"/>
      <c r="F305" s="127"/>
      <c r="G305" s="86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24"/>
      <c r="V305" s="21">
        <f t="shared" si="87"/>
        <v>0</v>
      </c>
    </row>
    <row r="306" spans="1:22" ht="127.5">
      <c r="A306" s="5" t="s">
        <v>42</v>
      </c>
      <c r="B306" s="35" t="s">
        <v>157</v>
      </c>
      <c r="C306" s="148" t="s">
        <v>94</v>
      </c>
      <c r="D306" s="161">
        <v>8700000000</v>
      </c>
      <c r="E306" s="161"/>
      <c r="F306" s="161"/>
      <c r="G306" s="37"/>
      <c r="H306" s="39">
        <f aca="true" t="shared" si="99" ref="H306:T306">H307</f>
        <v>30000</v>
      </c>
      <c r="I306" s="39">
        <f t="shared" si="99"/>
        <v>0</v>
      </c>
      <c r="J306" s="39">
        <f t="shared" si="99"/>
        <v>0</v>
      </c>
      <c r="K306" s="39">
        <f t="shared" si="99"/>
        <v>0</v>
      </c>
      <c r="L306" s="39">
        <f t="shared" si="99"/>
        <v>30000</v>
      </c>
      <c r="M306" s="39">
        <f t="shared" si="99"/>
        <v>0</v>
      </c>
      <c r="N306" s="39">
        <f t="shared" si="99"/>
        <v>0</v>
      </c>
      <c r="O306" s="39">
        <f t="shared" si="99"/>
        <v>0</v>
      </c>
      <c r="P306" s="39">
        <f t="shared" si="99"/>
        <v>0</v>
      </c>
      <c r="Q306" s="39">
        <f t="shared" si="99"/>
        <v>0</v>
      </c>
      <c r="R306" s="39">
        <f t="shared" si="99"/>
        <v>0</v>
      </c>
      <c r="S306" s="39">
        <f t="shared" si="99"/>
        <v>0</v>
      </c>
      <c r="T306" s="39">
        <f t="shared" si="99"/>
        <v>0</v>
      </c>
      <c r="U306" s="24">
        <f>I306+J306+K306+L306+M306+N306+O306+P306+Q306+R306+S306+T306</f>
        <v>30000</v>
      </c>
      <c r="V306" s="21">
        <f t="shared" si="87"/>
        <v>30000</v>
      </c>
    </row>
    <row r="307" spans="1:22" ht="12.75">
      <c r="A307" s="5" t="s">
        <v>42</v>
      </c>
      <c r="B307" s="3" t="s">
        <v>16</v>
      </c>
      <c r="C307" s="182" t="s">
        <v>94</v>
      </c>
      <c r="D307" s="171">
        <v>8710110300</v>
      </c>
      <c r="E307" s="171">
        <v>634</v>
      </c>
      <c r="F307" s="171">
        <v>290</v>
      </c>
      <c r="G307" s="86"/>
      <c r="H307" s="89">
        <v>30000</v>
      </c>
      <c r="I307" s="89">
        <v>0</v>
      </c>
      <c r="J307" s="89">
        <v>0</v>
      </c>
      <c r="K307" s="89">
        <v>0</v>
      </c>
      <c r="L307" s="89">
        <v>30000</v>
      </c>
      <c r="M307" s="89">
        <v>0</v>
      </c>
      <c r="N307" s="89">
        <v>0</v>
      </c>
      <c r="O307" s="89">
        <v>0</v>
      </c>
      <c r="P307" s="89">
        <v>0</v>
      </c>
      <c r="Q307" s="89">
        <v>0</v>
      </c>
      <c r="R307" s="89">
        <v>0</v>
      </c>
      <c r="S307" s="89">
        <v>0</v>
      </c>
      <c r="T307" s="89">
        <v>0</v>
      </c>
      <c r="U307" s="24">
        <f>I307+J307+K307+L307+M307+N307+O307+P307+Q307+R307+S307+T307</f>
        <v>30000</v>
      </c>
      <c r="V307" s="21">
        <f t="shared" si="87"/>
        <v>30000</v>
      </c>
    </row>
    <row r="308" spans="1:22" ht="12.75">
      <c r="A308" s="5"/>
      <c r="B308" s="76"/>
      <c r="C308" s="180"/>
      <c r="D308" s="171"/>
      <c r="E308" s="171"/>
      <c r="F308" s="171"/>
      <c r="G308" s="86"/>
      <c r="H308" s="89"/>
      <c r="I308" s="89"/>
      <c r="J308" s="89"/>
      <c r="K308" s="89"/>
      <c r="L308" s="89"/>
      <c r="M308" s="89"/>
      <c r="N308" s="89"/>
      <c r="O308" s="89"/>
      <c r="P308" s="89"/>
      <c r="Q308" s="89"/>
      <c r="R308" s="89"/>
      <c r="S308" s="89"/>
      <c r="T308" s="89"/>
      <c r="U308" s="24"/>
      <c r="V308" s="21">
        <f t="shared" si="87"/>
        <v>0</v>
      </c>
    </row>
    <row r="309" spans="1:22" ht="12.75">
      <c r="A309" s="5"/>
      <c r="B309" s="29" t="s">
        <v>53</v>
      </c>
      <c r="C309" s="180" t="s">
        <v>94</v>
      </c>
      <c r="D309" s="171"/>
      <c r="E309" s="171"/>
      <c r="F309" s="171"/>
      <c r="G309" s="86"/>
      <c r="H309" s="92">
        <f aca="true" t="shared" si="100" ref="H309:T309">H306</f>
        <v>30000</v>
      </c>
      <c r="I309" s="91">
        <f t="shared" si="100"/>
        <v>0</v>
      </c>
      <c r="J309" s="91">
        <f t="shared" si="100"/>
        <v>0</v>
      </c>
      <c r="K309" s="91">
        <f t="shared" si="100"/>
        <v>0</v>
      </c>
      <c r="L309" s="91">
        <f t="shared" si="100"/>
        <v>30000</v>
      </c>
      <c r="M309" s="91">
        <f t="shared" si="100"/>
        <v>0</v>
      </c>
      <c r="N309" s="91">
        <f t="shared" si="100"/>
        <v>0</v>
      </c>
      <c r="O309" s="91">
        <f t="shared" si="100"/>
        <v>0</v>
      </c>
      <c r="P309" s="91">
        <f t="shared" si="100"/>
        <v>0</v>
      </c>
      <c r="Q309" s="91">
        <f t="shared" si="100"/>
        <v>0</v>
      </c>
      <c r="R309" s="91">
        <f t="shared" si="100"/>
        <v>0</v>
      </c>
      <c r="S309" s="91">
        <f t="shared" si="100"/>
        <v>0</v>
      </c>
      <c r="T309" s="91">
        <f t="shared" si="100"/>
        <v>0</v>
      </c>
      <c r="U309" s="24">
        <f>I309+J309+K309+L309+M309+N309+O309+P309+Q309+R309+S309+T309</f>
        <v>30000</v>
      </c>
      <c r="V309" s="21">
        <f t="shared" si="87"/>
        <v>30000</v>
      </c>
    </row>
    <row r="310" spans="1:22" ht="12.75">
      <c r="A310" s="5"/>
      <c r="B310" s="76"/>
      <c r="C310" s="136"/>
      <c r="D310" s="127"/>
      <c r="E310" s="127"/>
      <c r="F310" s="127"/>
      <c r="G310" s="86"/>
      <c r="H310" s="89"/>
      <c r="I310" s="89"/>
      <c r="J310" s="89"/>
      <c r="K310" s="89"/>
      <c r="L310" s="89"/>
      <c r="M310" s="89"/>
      <c r="N310" s="89"/>
      <c r="O310" s="89"/>
      <c r="P310" s="89"/>
      <c r="Q310" s="89"/>
      <c r="R310" s="89"/>
      <c r="S310" s="89"/>
      <c r="T310" s="89"/>
      <c r="U310" s="24"/>
      <c r="V310" s="21">
        <f t="shared" si="87"/>
        <v>0</v>
      </c>
    </row>
    <row r="311" spans="1:22" ht="12.75">
      <c r="A311" s="53"/>
      <c r="B311" s="54" t="s">
        <v>95</v>
      </c>
      <c r="C311" s="143"/>
      <c r="D311" s="140"/>
      <c r="E311" s="140"/>
      <c r="F311" s="140"/>
      <c r="G311" s="93"/>
      <c r="H311" s="94">
        <f aca="true" t="shared" si="101" ref="H311:T311">H306+H301</f>
        <v>239300</v>
      </c>
      <c r="I311" s="94">
        <f t="shared" si="101"/>
        <v>17400</v>
      </c>
      <c r="J311" s="94">
        <f t="shared" si="101"/>
        <v>17400</v>
      </c>
      <c r="K311" s="94">
        <f t="shared" si="101"/>
        <v>17400</v>
      </c>
      <c r="L311" s="94">
        <f t="shared" si="101"/>
        <v>47400</v>
      </c>
      <c r="M311" s="94">
        <f t="shared" si="101"/>
        <v>17400</v>
      </c>
      <c r="N311" s="94">
        <f t="shared" si="101"/>
        <v>17400</v>
      </c>
      <c r="O311" s="94">
        <f t="shared" si="101"/>
        <v>17400</v>
      </c>
      <c r="P311" s="94">
        <f t="shared" si="101"/>
        <v>17400</v>
      </c>
      <c r="Q311" s="94">
        <f t="shared" si="101"/>
        <v>17400</v>
      </c>
      <c r="R311" s="94">
        <f t="shared" si="101"/>
        <v>17400</v>
      </c>
      <c r="S311" s="94">
        <f t="shared" si="101"/>
        <v>17400</v>
      </c>
      <c r="T311" s="94">
        <f t="shared" si="101"/>
        <v>17900</v>
      </c>
      <c r="U311" s="24">
        <f>I311+J311+K311+L311+M311+N311+O311+P311+Q311+R311+S311+T311</f>
        <v>239300</v>
      </c>
      <c r="V311" s="199">
        <f t="shared" si="87"/>
        <v>239300</v>
      </c>
    </row>
    <row r="312" spans="1:22" ht="12.75">
      <c r="A312" s="5"/>
      <c r="B312" s="88"/>
      <c r="C312" s="128"/>
      <c r="D312" s="127"/>
      <c r="E312" s="127"/>
      <c r="F312" s="127"/>
      <c r="G312" s="86"/>
      <c r="H312" s="89"/>
      <c r="I312" s="89"/>
      <c r="J312" s="89"/>
      <c r="K312" s="89"/>
      <c r="L312" s="89"/>
      <c r="M312" s="89"/>
      <c r="N312" s="89"/>
      <c r="O312" s="89"/>
      <c r="P312" s="89"/>
      <c r="Q312" s="89"/>
      <c r="R312" s="89"/>
      <c r="S312" s="89"/>
      <c r="T312" s="89"/>
      <c r="U312" s="24"/>
      <c r="V312" s="21">
        <f t="shared" si="87"/>
        <v>0</v>
      </c>
    </row>
    <row r="313" spans="1:22" ht="89.25">
      <c r="A313" s="5" t="s">
        <v>42</v>
      </c>
      <c r="B313" s="35" t="s">
        <v>158</v>
      </c>
      <c r="C313" s="148" t="s">
        <v>27</v>
      </c>
      <c r="D313" s="161">
        <v>8800000000</v>
      </c>
      <c r="E313" s="117"/>
      <c r="F313" s="117"/>
      <c r="G313" s="37"/>
      <c r="H313" s="39">
        <f>H315+H329+H332</f>
        <v>5032540.18</v>
      </c>
      <c r="I313" s="39">
        <f aca="true" t="shared" si="102" ref="I313:T313">I315+I329+I332</f>
        <v>381500</v>
      </c>
      <c r="J313" s="39">
        <f t="shared" si="102"/>
        <v>265560</v>
      </c>
      <c r="K313" s="39">
        <f t="shared" si="102"/>
        <v>288500</v>
      </c>
      <c r="L313" s="39">
        <f t="shared" si="102"/>
        <v>575340.1799999999</v>
      </c>
      <c r="M313" s="39">
        <f t="shared" si="102"/>
        <v>275385</v>
      </c>
      <c r="N313" s="39">
        <f t="shared" si="102"/>
        <v>238900</v>
      </c>
      <c r="O313" s="39">
        <f t="shared" si="102"/>
        <v>426500</v>
      </c>
      <c r="P313" s="39">
        <f t="shared" si="102"/>
        <v>375900</v>
      </c>
      <c r="Q313" s="39">
        <f t="shared" si="102"/>
        <v>376000</v>
      </c>
      <c r="R313" s="39">
        <f t="shared" si="102"/>
        <v>587415</v>
      </c>
      <c r="S313" s="39">
        <f t="shared" si="102"/>
        <v>515600</v>
      </c>
      <c r="T313" s="39">
        <f t="shared" si="102"/>
        <v>725940</v>
      </c>
      <c r="U313" s="24">
        <f>I313+J313+K313+L313+M313+N313+O313+P313+Q313+R313+S313+T313</f>
        <v>5032540.18</v>
      </c>
      <c r="V313" s="21">
        <f>V315+V332+V329</f>
        <v>5032540.18</v>
      </c>
    </row>
    <row r="314" spans="1:22" ht="12.75">
      <c r="A314" s="5"/>
      <c r="B314" s="71"/>
      <c r="C314" s="122"/>
      <c r="D314" s="123"/>
      <c r="E314" s="123"/>
      <c r="F314" s="123"/>
      <c r="G314" s="44"/>
      <c r="H314" s="77"/>
      <c r="I314" s="89"/>
      <c r="J314" s="89"/>
      <c r="K314" s="89"/>
      <c r="L314" s="89"/>
      <c r="M314" s="89"/>
      <c r="N314" s="89"/>
      <c r="O314" s="89"/>
      <c r="P314" s="89"/>
      <c r="Q314" s="89"/>
      <c r="R314" s="89"/>
      <c r="S314" s="89"/>
      <c r="T314" s="89"/>
      <c r="U314" s="24"/>
      <c r="V314" s="21">
        <f t="shared" si="87"/>
        <v>0</v>
      </c>
    </row>
    <row r="315" spans="1:22" ht="89.25">
      <c r="A315" s="5" t="s">
        <v>42</v>
      </c>
      <c r="B315" s="35" t="s">
        <v>159</v>
      </c>
      <c r="C315" s="148" t="s">
        <v>27</v>
      </c>
      <c r="D315" s="161">
        <v>8810000000</v>
      </c>
      <c r="E315" s="117"/>
      <c r="F315" s="117"/>
      <c r="G315" s="37"/>
      <c r="H315" s="39">
        <f aca="true" t="shared" si="103" ref="H315:T315">H316+H317+H318+H319+H320+H321+H322+H323+H324+H325+H326+H327</f>
        <v>4606400</v>
      </c>
      <c r="I315" s="39">
        <f t="shared" si="103"/>
        <v>371500</v>
      </c>
      <c r="J315" s="39">
        <f t="shared" si="103"/>
        <v>255560</v>
      </c>
      <c r="K315" s="39">
        <f t="shared" si="103"/>
        <v>286300</v>
      </c>
      <c r="L315" s="39">
        <f t="shared" si="103"/>
        <v>427100</v>
      </c>
      <c r="M315" s="39">
        <f t="shared" si="103"/>
        <v>245385</v>
      </c>
      <c r="N315" s="39">
        <f t="shared" si="103"/>
        <v>222800</v>
      </c>
      <c r="O315" s="39">
        <f t="shared" si="103"/>
        <v>410400</v>
      </c>
      <c r="P315" s="39">
        <f t="shared" si="103"/>
        <v>359800</v>
      </c>
      <c r="Q315" s="39">
        <f t="shared" si="103"/>
        <v>359900</v>
      </c>
      <c r="R315" s="39">
        <f t="shared" si="103"/>
        <v>557415</v>
      </c>
      <c r="S315" s="39">
        <f t="shared" si="103"/>
        <v>499500</v>
      </c>
      <c r="T315" s="39">
        <f t="shared" si="103"/>
        <v>610740</v>
      </c>
      <c r="U315" s="24">
        <f aca="true" t="shared" si="104" ref="U315:U327">I315+J315+K315+L315+M315+N315+O315+P315+Q315+R315+S315+T315</f>
        <v>4606400</v>
      </c>
      <c r="V315" s="21">
        <f t="shared" si="87"/>
        <v>4606400</v>
      </c>
    </row>
    <row r="316" spans="1:22" ht="12.75">
      <c r="A316" s="5" t="s">
        <v>42</v>
      </c>
      <c r="B316" s="3" t="s">
        <v>7</v>
      </c>
      <c r="C316" s="164" t="s">
        <v>27</v>
      </c>
      <c r="D316" s="162">
        <v>8810100330</v>
      </c>
      <c r="E316" s="162">
        <v>611</v>
      </c>
      <c r="F316" s="162">
        <v>211</v>
      </c>
      <c r="G316" s="44"/>
      <c r="H316" s="78">
        <v>3203100</v>
      </c>
      <c r="I316" s="89">
        <f>254100+13700</f>
        <v>267800</v>
      </c>
      <c r="J316" s="89">
        <f>154700+13700</f>
        <v>168400</v>
      </c>
      <c r="K316" s="89">
        <f>204700+13700</f>
        <v>218400</v>
      </c>
      <c r="L316" s="89">
        <f>254700+13700</f>
        <v>268400</v>
      </c>
      <c r="M316" s="89">
        <f>154700+13700</f>
        <v>168400</v>
      </c>
      <c r="N316" s="89">
        <f>154700+13700</f>
        <v>168400</v>
      </c>
      <c r="O316" s="89">
        <f>254700+13700</f>
        <v>268400</v>
      </c>
      <c r="P316" s="89">
        <f>254700+13700</f>
        <v>268400</v>
      </c>
      <c r="Q316" s="89">
        <f>254700+13700</f>
        <v>268400</v>
      </c>
      <c r="R316" s="89">
        <f>354700+13700</f>
        <v>368400</v>
      </c>
      <c r="S316" s="89">
        <v>320000</v>
      </c>
      <c r="T316" s="89">
        <f>436000+13700</f>
        <v>449700</v>
      </c>
      <c r="U316" s="24">
        <f t="shared" si="104"/>
        <v>3203100</v>
      </c>
      <c r="V316" s="21">
        <f t="shared" si="87"/>
        <v>3203100</v>
      </c>
    </row>
    <row r="317" spans="1:22" ht="12.75">
      <c r="A317" s="5" t="s">
        <v>42</v>
      </c>
      <c r="B317" s="3" t="s">
        <v>9</v>
      </c>
      <c r="C317" s="164" t="s">
        <v>27</v>
      </c>
      <c r="D317" s="162">
        <v>8810100330</v>
      </c>
      <c r="E317" s="162">
        <v>611</v>
      </c>
      <c r="F317" s="162">
        <v>213</v>
      </c>
      <c r="G317" s="44"/>
      <c r="H317" s="78">
        <v>967300</v>
      </c>
      <c r="I317" s="89">
        <f>76400+4100</f>
        <v>80500</v>
      </c>
      <c r="J317" s="89">
        <f>58400+4100</f>
        <v>62500</v>
      </c>
      <c r="K317" s="89">
        <f>46400+4100</f>
        <v>50500</v>
      </c>
      <c r="L317" s="89">
        <f>76400+4100</f>
        <v>80500</v>
      </c>
      <c r="M317" s="89">
        <f>61785+4100</f>
        <v>65885</v>
      </c>
      <c r="N317" s="89">
        <f>39400+4100</f>
        <v>43500</v>
      </c>
      <c r="O317" s="89">
        <f>76400+4100</f>
        <v>80500</v>
      </c>
      <c r="P317" s="89">
        <f>76400+4100</f>
        <v>80500</v>
      </c>
      <c r="Q317" s="89">
        <f>76400+4100</f>
        <v>80500</v>
      </c>
      <c r="R317" s="89">
        <f>91015+4100</f>
        <v>95115</v>
      </c>
      <c r="S317" s="89">
        <v>148100</v>
      </c>
      <c r="T317" s="89">
        <f>95100+4100</f>
        <v>99200</v>
      </c>
      <c r="U317" s="24">
        <f t="shared" si="104"/>
        <v>967300</v>
      </c>
      <c r="V317" s="21">
        <f t="shared" si="87"/>
        <v>967300</v>
      </c>
    </row>
    <row r="318" spans="1:22" ht="12.75" hidden="1">
      <c r="A318" s="5" t="s">
        <v>42</v>
      </c>
      <c r="B318" s="3" t="s">
        <v>15</v>
      </c>
      <c r="C318" s="128" t="s">
        <v>27</v>
      </c>
      <c r="D318" s="127">
        <v>8810100330</v>
      </c>
      <c r="E318" s="127">
        <v>611</v>
      </c>
      <c r="F318" s="127">
        <v>226</v>
      </c>
      <c r="G318" s="44"/>
      <c r="H318" s="78">
        <v>0</v>
      </c>
      <c r="I318" s="89">
        <v>0</v>
      </c>
      <c r="J318" s="89">
        <v>0</v>
      </c>
      <c r="K318" s="89">
        <v>0</v>
      </c>
      <c r="L318" s="89">
        <v>0</v>
      </c>
      <c r="M318" s="89">
        <v>0</v>
      </c>
      <c r="N318" s="89">
        <v>0</v>
      </c>
      <c r="O318" s="89">
        <v>0</v>
      </c>
      <c r="P318" s="89">
        <v>0</v>
      </c>
      <c r="Q318" s="89">
        <v>0</v>
      </c>
      <c r="R318" s="89">
        <v>0</v>
      </c>
      <c r="S318" s="89">
        <v>0</v>
      </c>
      <c r="T318" s="89">
        <v>0</v>
      </c>
      <c r="U318" s="24">
        <f t="shared" si="104"/>
        <v>0</v>
      </c>
      <c r="V318" s="21">
        <f t="shared" si="87"/>
        <v>0</v>
      </c>
    </row>
    <row r="319" spans="1:22" ht="12.75">
      <c r="A319" s="96" t="s">
        <v>42</v>
      </c>
      <c r="B319" s="97" t="s">
        <v>12</v>
      </c>
      <c r="C319" s="164" t="s">
        <v>27</v>
      </c>
      <c r="D319" s="162">
        <v>8810100330</v>
      </c>
      <c r="E319" s="162">
        <v>611</v>
      </c>
      <c r="F319" s="162">
        <v>221</v>
      </c>
      <c r="G319" s="85" t="s">
        <v>96</v>
      </c>
      <c r="H319" s="78">
        <v>30000</v>
      </c>
      <c r="I319" s="89">
        <v>1500</v>
      </c>
      <c r="J319" s="89">
        <v>2500</v>
      </c>
      <c r="K319" s="89">
        <v>2500</v>
      </c>
      <c r="L319" s="89">
        <v>2500</v>
      </c>
      <c r="M319" s="89">
        <v>2500</v>
      </c>
      <c r="N319" s="89">
        <v>2500</v>
      </c>
      <c r="O319" s="89">
        <v>2500</v>
      </c>
      <c r="P319" s="89">
        <v>2500</v>
      </c>
      <c r="Q319" s="89">
        <v>2500</v>
      </c>
      <c r="R319" s="89">
        <v>2500</v>
      </c>
      <c r="S319" s="89">
        <v>2500</v>
      </c>
      <c r="T319" s="89">
        <v>3500</v>
      </c>
      <c r="U319" s="24">
        <f t="shared" si="104"/>
        <v>30000</v>
      </c>
      <c r="V319" s="21">
        <f t="shared" si="87"/>
        <v>30000</v>
      </c>
    </row>
    <row r="320" spans="1:22" ht="12.75">
      <c r="A320" s="96" t="s">
        <v>42</v>
      </c>
      <c r="B320" s="97" t="s">
        <v>12</v>
      </c>
      <c r="C320" s="164" t="s">
        <v>27</v>
      </c>
      <c r="D320" s="162">
        <v>8810100330</v>
      </c>
      <c r="E320" s="162">
        <v>611</v>
      </c>
      <c r="F320" s="162">
        <v>221</v>
      </c>
      <c r="G320" s="85" t="s">
        <v>97</v>
      </c>
      <c r="H320" s="78">
        <v>29000</v>
      </c>
      <c r="I320" s="89">
        <v>2400</v>
      </c>
      <c r="J320" s="89">
        <v>2400</v>
      </c>
      <c r="K320" s="89">
        <v>2400</v>
      </c>
      <c r="L320" s="89">
        <v>2400</v>
      </c>
      <c r="M320" s="89">
        <v>2400</v>
      </c>
      <c r="N320" s="89">
        <v>2400</v>
      </c>
      <c r="O320" s="89">
        <v>2400</v>
      </c>
      <c r="P320" s="89">
        <v>2400</v>
      </c>
      <c r="Q320" s="89">
        <v>2400</v>
      </c>
      <c r="R320" s="89">
        <v>2400</v>
      </c>
      <c r="S320" s="89">
        <v>2400</v>
      </c>
      <c r="T320" s="89">
        <v>2600</v>
      </c>
      <c r="U320" s="24">
        <f t="shared" si="104"/>
        <v>29000</v>
      </c>
      <c r="V320" s="21">
        <f t="shared" si="87"/>
        <v>29000</v>
      </c>
    </row>
    <row r="321" spans="1:22" ht="12.75">
      <c r="A321" s="5" t="s">
        <v>42</v>
      </c>
      <c r="B321" s="3" t="s">
        <v>13</v>
      </c>
      <c r="C321" s="164" t="s">
        <v>27</v>
      </c>
      <c r="D321" s="162">
        <v>8810100330</v>
      </c>
      <c r="E321" s="162">
        <v>611</v>
      </c>
      <c r="F321" s="162">
        <v>223</v>
      </c>
      <c r="G321" s="85" t="s">
        <v>98</v>
      </c>
      <c r="H321" s="78">
        <v>72000</v>
      </c>
      <c r="I321" s="89">
        <v>6500</v>
      </c>
      <c r="J321" s="89">
        <v>8000</v>
      </c>
      <c r="K321" s="89">
        <v>8000</v>
      </c>
      <c r="L321" s="89">
        <v>6000</v>
      </c>
      <c r="M321" s="89">
        <v>5000</v>
      </c>
      <c r="N321" s="89">
        <v>3000</v>
      </c>
      <c r="O321" s="89">
        <v>3000</v>
      </c>
      <c r="P321" s="89">
        <v>3000</v>
      </c>
      <c r="Q321" s="89">
        <v>5000</v>
      </c>
      <c r="R321" s="89">
        <v>8000</v>
      </c>
      <c r="S321" s="89">
        <v>8000</v>
      </c>
      <c r="T321" s="89">
        <v>8500</v>
      </c>
      <c r="U321" s="24">
        <f t="shared" si="104"/>
        <v>72000</v>
      </c>
      <c r="V321" s="21">
        <f t="shared" si="87"/>
        <v>72000</v>
      </c>
    </row>
    <row r="322" spans="1:22" ht="12.75">
      <c r="A322" s="5" t="s">
        <v>42</v>
      </c>
      <c r="B322" s="3" t="s">
        <v>13</v>
      </c>
      <c r="C322" s="164" t="s">
        <v>27</v>
      </c>
      <c r="D322" s="162">
        <v>8810100330</v>
      </c>
      <c r="E322" s="162">
        <v>611</v>
      </c>
      <c r="F322" s="162">
        <v>223</v>
      </c>
      <c r="G322" s="85" t="s">
        <v>43</v>
      </c>
      <c r="H322" s="78">
        <v>19000</v>
      </c>
      <c r="I322" s="89">
        <v>1000</v>
      </c>
      <c r="J322" s="89">
        <v>1000</v>
      </c>
      <c r="K322" s="89">
        <v>1000</v>
      </c>
      <c r="L322" s="89">
        <v>1200</v>
      </c>
      <c r="M322" s="89">
        <v>1200</v>
      </c>
      <c r="N322" s="89">
        <v>3000</v>
      </c>
      <c r="O322" s="89">
        <v>3000</v>
      </c>
      <c r="P322" s="89">
        <v>3000</v>
      </c>
      <c r="Q322" s="89">
        <v>1100</v>
      </c>
      <c r="R322" s="89">
        <v>1000</v>
      </c>
      <c r="S322" s="89">
        <v>1000</v>
      </c>
      <c r="T322" s="89">
        <v>1500</v>
      </c>
      <c r="U322" s="24">
        <f t="shared" si="104"/>
        <v>19000</v>
      </c>
      <c r="V322" s="21">
        <f t="shared" si="87"/>
        <v>19000</v>
      </c>
    </row>
    <row r="323" spans="1:22" ht="12.75">
      <c r="A323" s="5" t="s">
        <v>42</v>
      </c>
      <c r="B323" s="3" t="s">
        <v>13</v>
      </c>
      <c r="C323" s="164" t="s">
        <v>27</v>
      </c>
      <c r="D323" s="162">
        <v>8810100330</v>
      </c>
      <c r="E323" s="162">
        <v>611</v>
      </c>
      <c r="F323" s="162">
        <v>223</v>
      </c>
      <c r="G323" s="85" t="s">
        <v>45</v>
      </c>
      <c r="H323" s="78">
        <v>80000</v>
      </c>
      <c r="I323" s="89">
        <v>11800</v>
      </c>
      <c r="J323" s="89">
        <v>10760</v>
      </c>
      <c r="K323" s="89">
        <v>3500</v>
      </c>
      <c r="L323" s="89">
        <v>6500</v>
      </c>
      <c r="M323" s="89">
        <v>0</v>
      </c>
      <c r="N323" s="89">
        <v>0</v>
      </c>
      <c r="O323" s="89">
        <v>0</v>
      </c>
      <c r="P323" s="89">
        <v>0</v>
      </c>
      <c r="Q323" s="89">
        <v>0</v>
      </c>
      <c r="R323" s="89">
        <v>9600</v>
      </c>
      <c r="S323" s="89">
        <v>17500</v>
      </c>
      <c r="T323" s="89">
        <v>20340</v>
      </c>
      <c r="U323" s="24">
        <f t="shared" si="104"/>
        <v>80000</v>
      </c>
      <c r="V323" s="21">
        <f t="shared" si="87"/>
        <v>80000</v>
      </c>
    </row>
    <row r="324" spans="1:22" ht="25.5">
      <c r="A324" s="5" t="s">
        <v>42</v>
      </c>
      <c r="B324" s="72" t="s">
        <v>71</v>
      </c>
      <c r="C324" s="164" t="s">
        <v>27</v>
      </c>
      <c r="D324" s="162">
        <v>8810100330</v>
      </c>
      <c r="E324" s="162">
        <v>611</v>
      </c>
      <c r="F324" s="162">
        <v>225</v>
      </c>
      <c r="G324" s="85"/>
      <c r="H324" s="78">
        <v>54000</v>
      </c>
      <c r="I324" s="78">
        <v>0</v>
      </c>
      <c r="J324" s="78">
        <v>0</v>
      </c>
      <c r="K324" s="78">
        <v>0</v>
      </c>
      <c r="L324" s="78">
        <v>29000</v>
      </c>
      <c r="M324" s="78">
        <v>0</v>
      </c>
      <c r="N324" s="78">
        <v>0</v>
      </c>
      <c r="O324" s="78">
        <v>0</v>
      </c>
      <c r="P324" s="78">
        <v>0</v>
      </c>
      <c r="Q324" s="78">
        <v>0</v>
      </c>
      <c r="R324" s="78">
        <v>25000</v>
      </c>
      <c r="S324" s="78">
        <v>0</v>
      </c>
      <c r="T324" s="78">
        <v>0</v>
      </c>
      <c r="U324" s="24">
        <f t="shared" si="104"/>
        <v>54000</v>
      </c>
      <c r="V324" s="21">
        <f t="shared" si="87"/>
        <v>54000</v>
      </c>
    </row>
    <row r="325" spans="1:22" ht="12.75">
      <c r="A325" s="5" t="s">
        <v>42</v>
      </c>
      <c r="B325" s="3" t="s">
        <v>16</v>
      </c>
      <c r="C325" s="164" t="s">
        <v>27</v>
      </c>
      <c r="D325" s="162">
        <v>8810100330</v>
      </c>
      <c r="E325" s="162">
        <v>611</v>
      </c>
      <c r="F325" s="162">
        <v>290</v>
      </c>
      <c r="G325" s="85" t="s">
        <v>60</v>
      </c>
      <c r="H325" s="78">
        <v>102000</v>
      </c>
      <c r="I325" s="89">
        <v>0</v>
      </c>
      <c r="J325" s="89">
        <v>0</v>
      </c>
      <c r="K325" s="89">
        <v>0</v>
      </c>
      <c r="L325" s="89">
        <v>25600</v>
      </c>
      <c r="M325" s="89">
        <v>0</v>
      </c>
      <c r="N325" s="89">
        <v>0</v>
      </c>
      <c r="O325" s="89">
        <v>25600</v>
      </c>
      <c r="P325" s="89">
        <v>0</v>
      </c>
      <c r="Q325" s="89">
        <v>0</v>
      </c>
      <c r="R325" s="89">
        <v>25400</v>
      </c>
      <c r="S325" s="89">
        <v>0</v>
      </c>
      <c r="T325" s="89">
        <v>25400</v>
      </c>
      <c r="U325" s="24">
        <f t="shared" si="104"/>
        <v>102000</v>
      </c>
      <c r="V325" s="21">
        <f t="shared" si="87"/>
        <v>102000</v>
      </c>
    </row>
    <row r="326" spans="1:22" ht="12.75" hidden="1">
      <c r="A326" s="5" t="s">
        <v>42</v>
      </c>
      <c r="B326" s="3" t="s">
        <v>18</v>
      </c>
      <c r="C326" s="128" t="s">
        <v>27</v>
      </c>
      <c r="D326" s="127">
        <v>8810100330</v>
      </c>
      <c r="E326" s="127">
        <v>611</v>
      </c>
      <c r="F326" s="127">
        <v>310</v>
      </c>
      <c r="G326" s="85"/>
      <c r="H326" s="78">
        <v>0</v>
      </c>
      <c r="I326" s="89">
        <v>0</v>
      </c>
      <c r="J326" s="89">
        <v>0</v>
      </c>
      <c r="K326" s="89">
        <v>0</v>
      </c>
      <c r="L326" s="89">
        <v>0</v>
      </c>
      <c r="M326" s="89">
        <v>0</v>
      </c>
      <c r="N326" s="89">
        <v>0</v>
      </c>
      <c r="O326" s="89">
        <v>0</v>
      </c>
      <c r="P326" s="89">
        <v>0</v>
      </c>
      <c r="Q326" s="89">
        <v>0</v>
      </c>
      <c r="R326" s="89">
        <v>0</v>
      </c>
      <c r="S326" s="89">
        <v>0</v>
      </c>
      <c r="T326" s="89">
        <v>0</v>
      </c>
      <c r="U326" s="24">
        <f t="shared" si="104"/>
        <v>0</v>
      </c>
      <c r="V326" s="21">
        <f t="shared" si="87"/>
        <v>0</v>
      </c>
    </row>
    <row r="327" spans="1:22" ht="12.75">
      <c r="A327" s="5" t="s">
        <v>42</v>
      </c>
      <c r="B327" s="3" t="s">
        <v>17</v>
      </c>
      <c r="C327" s="164" t="s">
        <v>27</v>
      </c>
      <c r="D327" s="162">
        <v>8810100330</v>
      </c>
      <c r="E327" s="162">
        <v>611</v>
      </c>
      <c r="F327" s="162">
        <v>340</v>
      </c>
      <c r="G327" s="85"/>
      <c r="H327" s="78">
        <v>50000</v>
      </c>
      <c r="I327" s="89">
        <v>0</v>
      </c>
      <c r="J327" s="89">
        <v>0</v>
      </c>
      <c r="K327" s="89">
        <v>0</v>
      </c>
      <c r="L327" s="89">
        <v>5000</v>
      </c>
      <c r="M327" s="89">
        <v>0</v>
      </c>
      <c r="N327" s="89">
        <v>0</v>
      </c>
      <c r="O327" s="89">
        <v>25000</v>
      </c>
      <c r="P327" s="89">
        <v>0</v>
      </c>
      <c r="Q327" s="89">
        <v>0</v>
      </c>
      <c r="R327" s="89">
        <v>20000</v>
      </c>
      <c r="S327" s="89">
        <v>0</v>
      </c>
      <c r="T327" s="89">
        <v>0</v>
      </c>
      <c r="U327" s="24">
        <f t="shared" si="104"/>
        <v>50000</v>
      </c>
      <c r="V327" s="21">
        <f t="shared" si="87"/>
        <v>50000</v>
      </c>
    </row>
    <row r="328" spans="1:22" ht="12.75">
      <c r="A328" s="98"/>
      <c r="B328" s="72"/>
      <c r="C328" s="128"/>
      <c r="D328" s="127"/>
      <c r="E328" s="127"/>
      <c r="F328" s="127"/>
      <c r="G328" s="85"/>
      <c r="H328" s="78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24"/>
      <c r="V328" s="21">
        <f aca="true" t="shared" si="105" ref="V328:V346">SUM(I328:T328)</f>
        <v>0</v>
      </c>
    </row>
    <row r="329" spans="1:22" ht="66" customHeight="1">
      <c r="A329" s="5" t="s">
        <v>42</v>
      </c>
      <c r="B329" s="35" t="s">
        <v>160</v>
      </c>
      <c r="C329" s="148" t="s">
        <v>27</v>
      </c>
      <c r="D329" s="161">
        <v>8820000000</v>
      </c>
      <c r="E329" s="161"/>
      <c r="F329" s="161"/>
      <c r="G329" s="37"/>
      <c r="H329" s="39">
        <f aca="true" t="shared" si="106" ref="H329:T329">H330</f>
        <v>234000</v>
      </c>
      <c r="I329" s="39">
        <f t="shared" si="106"/>
        <v>10000</v>
      </c>
      <c r="J329" s="39">
        <f t="shared" si="106"/>
        <v>10000</v>
      </c>
      <c r="K329" s="39">
        <f t="shared" si="106"/>
        <v>2200</v>
      </c>
      <c r="L329" s="39">
        <f t="shared" si="106"/>
        <v>16100</v>
      </c>
      <c r="M329" s="39">
        <f t="shared" si="106"/>
        <v>30000</v>
      </c>
      <c r="N329" s="39">
        <f t="shared" si="106"/>
        <v>16100</v>
      </c>
      <c r="O329" s="39">
        <f t="shared" si="106"/>
        <v>16100</v>
      </c>
      <c r="P329" s="39">
        <f t="shared" si="106"/>
        <v>16100</v>
      </c>
      <c r="Q329" s="39">
        <f t="shared" si="106"/>
        <v>16100</v>
      </c>
      <c r="R329" s="39">
        <f t="shared" si="106"/>
        <v>30000</v>
      </c>
      <c r="S329" s="39">
        <f t="shared" si="106"/>
        <v>16100</v>
      </c>
      <c r="T329" s="39">
        <f t="shared" si="106"/>
        <v>55200</v>
      </c>
      <c r="U329" s="24">
        <f>I329+J329+K329+L329+M329+N329+O329+P329+Q329+R329+S329+T329</f>
        <v>234000</v>
      </c>
      <c r="V329" s="21">
        <f t="shared" si="105"/>
        <v>234000</v>
      </c>
    </row>
    <row r="330" spans="1:22" ht="14.25" customHeight="1">
      <c r="A330" s="5" t="s">
        <v>42</v>
      </c>
      <c r="B330" s="3" t="s">
        <v>16</v>
      </c>
      <c r="C330" s="170" t="s">
        <v>27</v>
      </c>
      <c r="D330" s="171">
        <v>8820100340</v>
      </c>
      <c r="E330" s="171">
        <v>611</v>
      </c>
      <c r="F330" s="171">
        <v>290</v>
      </c>
      <c r="G330" s="86"/>
      <c r="H330" s="89">
        <v>234000</v>
      </c>
      <c r="I330" s="89">
        <v>10000</v>
      </c>
      <c r="J330" s="89">
        <v>10000</v>
      </c>
      <c r="K330" s="89">
        <v>2200</v>
      </c>
      <c r="L330" s="89">
        <v>16100</v>
      </c>
      <c r="M330" s="89">
        <v>30000</v>
      </c>
      <c r="N330" s="89">
        <v>16100</v>
      </c>
      <c r="O330" s="89">
        <v>16100</v>
      </c>
      <c r="P330" s="89">
        <v>16100</v>
      </c>
      <c r="Q330" s="89">
        <v>16100</v>
      </c>
      <c r="R330" s="89">
        <v>30000</v>
      </c>
      <c r="S330" s="89">
        <v>16100</v>
      </c>
      <c r="T330" s="89">
        <v>55200</v>
      </c>
      <c r="U330" s="24">
        <f>I330+J330+K330+L330+M330+N330+O330+P330+Q330+R330+S330+T330</f>
        <v>234000</v>
      </c>
      <c r="V330" s="21">
        <f t="shared" si="105"/>
        <v>234000</v>
      </c>
    </row>
    <row r="331" spans="1:22" ht="12.75">
      <c r="A331" s="5"/>
      <c r="B331" s="88"/>
      <c r="C331" s="128"/>
      <c r="D331" s="127"/>
      <c r="E331" s="127"/>
      <c r="F331" s="127"/>
      <c r="G331" s="86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24"/>
      <c r="V331" s="21">
        <f t="shared" si="105"/>
        <v>0</v>
      </c>
    </row>
    <row r="332" spans="1:22" ht="89.25">
      <c r="A332" s="5" t="s">
        <v>42</v>
      </c>
      <c r="B332" s="35" t="s">
        <v>161</v>
      </c>
      <c r="C332" s="148" t="s">
        <v>27</v>
      </c>
      <c r="D332" s="161">
        <v>8830000000</v>
      </c>
      <c r="E332" s="124"/>
      <c r="F332" s="124"/>
      <c r="G332" s="183"/>
      <c r="H332" s="39">
        <f>H333+H334</f>
        <v>192140.18</v>
      </c>
      <c r="I332" s="39">
        <f aca="true" t="shared" si="107" ref="I332:S332">I333</f>
        <v>0</v>
      </c>
      <c r="J332" s="39">
        <f t="shared" si="107"/>
        <v>0</v>
      </c>
      <c r="K332" s="39">
        <f t="shared" si="107"/>
        <v>0</v>
      </c>
      <c r="L332" s="39">
        <f t="shared" si="107"/>
        <v>132140.18</v>
      </c>
      <c r="M332" s="39">
        <f t="shared" si="107"/>
        <v>0</v>
      </c>
      <c r="N332" s="39">
        <f t="shared" si="107"/>
        <v>0</v>
      </c>
      <c r="O332" s="39">
        <f t="shared" si="107"/>
        <v>0</v>
      </c>
      <c r="P332" s="39">
        <f t="shared" si="107"/>
        <v>0</v>
      </c>
      <c r="Q332" s="39">
        <f t="shared" si="107"/>
        <v>0</v>
      </c>
      <c r="R332" s="39">
        <f t="shared" si="107"/>
        <v>0</v>
      </c>
      <c r="S332" s="39">
        <f t="shared" si="107"/>
        <v>0</v>
      </c>
      <c r="T332" s="39">
        <f>T333+T334</f>
        <v>60000</v>
      </c>
      <c r="U332" s="24">
        <f>I332+J332+K332+L332+M332+N332+O332+P332+Q332+R332+S332+T332</f>
        <v>192140.18</v>
      </c>
      <c r="V332" s="21">
        <f>V333+V334</f>
        <v>192140.18</v>
      </c>
    </row>
    <row r="333" spans="1:22" ht="12.75">
      <c r="A333" s="5" t="s">
        <v>42</v>
      </c>
      <c r="B333" s="3" t="s">
        <v>16</v>
      </c>
      <c r="C333" s="170" t="s">
        <v>27</v>
      </c>
      <c r="D333" s="171">
        <v>8830110390</v>
      </c>
      <c r="E333" s="162">
        <v>414</v>
      </c>
      <c r="F333" s="162">
        <v>290</v>
      </c>
      <c r="G333" s="86"/>
      <c r="H333" s="89">
        <v>132140.18</v>
      </c>
      <c r="I333" s="89">
        <v>0</v>
      </c>
      <c r="J333" s="89">
        <v>0</v>
      </c>
      <c r="K333" s="89">
        <v>0</v>
      </c>
      <c r="L333" s="89">
        <v>132140.18</v>
      </c>
      <c r="M333" s="89">
        <v>0</v>
      </c>
      <c r="N333" s="89">
        <v>0</v>
      </c>
      <c r="O333" s="89">
        <v>0</v>
      </c>
      <c r="P333" s="89">
        <v>0</v>
      </c>
      <c r="Q333" s="89">
        <v>0</v>
      </c>
      <c r="R333" s="89">
        <v>0</v>
      </c>
      <c r="S333" s="89">
        <v>0</v>
      </c>
      <c r="T333" s="89">
        <v>0</v>
      </c>
      <c r="U333" s="24">
        <f>I333+J333+K333+L333+M333+N333+O333+P333+Q333+R333+S333+T333</f>
        <v>132140.18</v>
      </c>
      <c r="V333" s="21">
        <f t="shared" si="105"/>
        <v>132140.18</v>
      </c>
    </row>
    <row r="334" spans="1:22" ht="12.75">
      <c r="A334" s="5"/>
      <c r="B334" s="88"/>
      <c r="C334" s="128"/>
      <c r="D334" s="127"/>
      <c r="E334" s="127">
        <v>244</v>
      </c>
      <c r="F334" s="127">
        <v>226</v>
      </c>
      <c r="G334" s="86"/>
      <c r="H334" s="89">
        <v>60000</v>
      </c>
      <c r="I334" s="89"/>
      <c r="J334" s="89"/>
      <c r="K334" s="89"/>
      <c r="L334" s="89">
        <v>0</v>
      </c>
      <c r="M334" s="89"/>
      <c r="N334" s="89"/>
      <c r="O334" s="89"/>
      <c r="P334" s="89"/>
      <c r="Q334" s="89"/>
      <c r="R334" s="89"/>
      <c r="S334" s="89"/>
      <c r="T334" s="89">
        <v>60000</v>
      </c>
      <c r="U334" s="24"/>
      <c r="V334" s="21">
        <f t="shared" si="105"/>
        <v>60000</v>
      </c>
    </row>
    <row r="335" spans="1:22" ht="89.25">
      <c r="A335" s="5" t="s">
        <v>42</v>
      </c>
      <c r="B335" s="35" t="s">
        <v>154</v>
      </c>
      <c r="C335" s="148" t="s">
        <v>27</v>
      </c>
      <c r="D335" s="161">
        <v>8400000000</v>
      </c>
      <c r="E335" s="161"/>
      <c r="F335" s="161"/>
      <c r="G335" s="37"/>
      <c r="H335" s="39">
        <f aca="true" t="shared" si="108" ref="H335:T335">H336</f>
        <v>10000</v>
      </c>
      <c r="I335" s="39">
        <f t="shared" si="108"/>
        <v>0</v>
      </c>
      <c r="J335" s="39">
        <f t="shared" si="108"/>
        <v>0</v>
      </c>
      <c r="K335" s="39">
        <f t="shared" si="108"/>
        <v>0</v>
      </c>
      <c r="L335" s="39">
        <f t="shared" si="108"/>
        <v>0</v>
      </c>
      <c r="M335" s="39">
        <f t="shared" si="108"/>
        <v>0</v>
      </c>
      <c r="N335" s="39">
        <f t="shared" si="108"/>
        <v>0</v>
      </c>
      <c r="O335" s="39">
        <f t="shared" si="108"/>
        <v>10000</v>
      </c>
      <c r="P335" s="39">
        <f t="shared" si="108"/>
        <v>0</v>
      </c>
      <c r="Q335" s="39">
        <f t="shared" si="108"/>
        <v>0</v>
      </c>
      <c r="R335" s="39">
        <f t="shared" si="108"/>
        <v>0</v>
      </c>
      <c r="S335" s="39">
        <f t="shared" si="108"/>
        <v>0</v>
      </c>
      <c r="T335" s="39">
        <f t="shared" si="108"/>
        <v>0</v>
      </c>
      <c r="U335" s="24">
        <f>I335+J335+K335+L335+M335+N335+O335+P335+Q335+R335+S335+T335</f>
        <v>10000</v>
      </c>
      <c r="V335" s="21">
        <f t="shared" si="105"/>
        <v>10000</v>
      </c>
    </row>
    <row r="336" spans="1:22" ht="12.75">
      <c r="A336" s="5" t="s">
        <v>42</v>
      </c>
      <c r="B336" s="3" t="s">
        <v>16</v>
      </c>
      <c r="C336" s="170" t="s">
        <v>27</v>
      </c>
      <c r="D336" s="171">
        <v>8410110290</v>
      </c>
      <c r="E336" s="171">
        <v>611</v>
      </c>
      <c r="F336" s="171">
        <v>290</v>
      </c>
      <c r="G336" s="86"/>
      <c r="H336" s="89">
        <v>10000</v>
      </c>
      <c r="I336" s="89">
        <v>0</v>
      </c>
      <c r="J336" s="89">
        <v>0</v>
      </c>
      <c r="K336" s="89">
        <v>0</v>
      </c>
      <c r="L336" s="89">
        <v>0</v>
      </c>
      <c r="M336" s="89">
        <v>0</v>
      </c>
      <c r="N336" s="89">
        <v>0</v>
      </c>
      <c r="O336" s="89">
        <v>10000</v>
      </c>
      <c r="P336" s="89">
        <v>0</v>
      </c>
      <c r="Q336" s="89">
        <v>0</v>
      </c>
      <c r="R336" s="89">
        <v>0</v>
      </c>
      <c r="S336" s="89">
        <v>0</v>
      </c>
      <c r="T336" s="89">
        <v>0</v>
      </c>
      <c r="U336" s="24">
        <f>I336+J336+K336+L336+M336+N336+O336+P336+Q336+R336+S336+T336</f>
        <v>10000</v>
      </c>
      <c r="V336" s="21">
        <f t="shared" si="105"/>
        <v>10000</v>
      </c>
    </row>
    <row r="337" spans="1:22" ht="12.75">
      <c r="A337" s="5"/>
      <c r="B337" s="88"/>
      <c r="C337" s="128"/>
      <c r="D337" s="127"/>
      <c r="E337" s="127"/>
      <c r="F337" s="127"/>
      <c r="G337" s="86"/>
      <c r="H337" s="89"/>
      <c r="I337" s="89"/>
      <c r="J337" s="89"/>
      <c r="K337" s="89"/>
      <c r="L337" s="89"/>
      <c r="M337" s="89"/>
      <c r="N337" s="89"/>
      <c r="O337" s="89"/>
      <c r="P337" s="89"/>
      <c r="Q337" s="89"/>
      <c r="R337" s="89"/>
      <c r="S337" s="89"/>
      <c r="T337" s="89"/>
      <c r="U337" s="24"/>
      <c r="V337" s="21">
        <f t="shared" si="105"/>
        <v>0</v>
      </c>
    </row>
    <row r="338" spans="1:22" ht="12.75">
      <c r="A338" s="5"/>
      <c r="B338" s="29" t="s">
        <v>53</v>
      </c>
      <c r="C338" s="180" t="s">
        <v>27</v>
      </c>
      <c r="D338" s="127"/>
      <c r="E338" s="127"/>
      <c r="F338" s="127"/>
      <c r="G338" s="86"/>
      <c r="H338" s="92">
        <f aca="true" t="shared" si="109" ref="H338:T338">H313+H335</f>
        <v>5042540.18</v>
      </c>
      <c r="I338" s="91">
        <f t="shared" si="109"/>
        <v>381500</v>
      </c>
      <c r="J338" s="91">
        <f t="shared" si="109"/>
        <v>265560</v>
      </c>
      <c r="K338" s="91">
        <f t="shared" si="109"/>
        <v>288500</v>
      </c>
      <c r="L338" s="91">
        <f t="shared" si="109"/>
        <v>575340.1799999999</v>
      </c>
      <c r="M338" s="91">
        <f t="shared" si="109"/>
        <v>275385</v>
      </c>
      <c r="N338" s="91">
        <f t="shared" si="109"/>
        <v>238900</v>
      </c>
      <c r="O338" s="91">
        <f t="shared" si="109"/>
        <v>436500</v>
      </c>
      <c r="P338" s="91">
        <f t="shared" si="109"/>
        <v>375900</v>
      </c>
      <c r="Q338" s="91">
        <f t="shared" si="109"/>
        <v>376000</v>
      </c>
      <c r="R338" s="91">
        <f t="shared" si="109"/>
        <v>587415</v>
      </c>
      <c r="S338" s="91">
        <f t="shared" si="109"/>
        <v>515600</v>
      </c>
      <c r="T338" s="91">
        <f t="shared" si="109"/>
        <v>725940</v>
      </c>
      <c r="U338" s="24">
        <f aca="true" t="shared" si="110" ref="U338:U344">I338+J338+K338+L338+M338+N338+O338+P338+Q338+R338+S338+T338</f>
        <v>5042540.18</v>
      </c>
      <c r="V338" s="21">
        <f t="shared" si="105"/>
        <v>5042540.18</v>
      </c>
    </row>
    <row r="339" spans="1:22" ht="12.75">
      <c r="A339" s="5"/>
      <c r="B339" s="76"/>
      <c r="C339" s="136"/>
      <c r="D339" s="127"/>
      <c r="E339" s="127"/>
      <c r="F339" s="127"/>
      <c r="G339" s="86"/>
      <c r="H339" s="92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24">
        <f t="shared" si="110"/>
        <v>0</v>
      </c>
      <c r="V339" s="21">
        <f t="shared" si="105"/>
        <v>0</v>
      </c>
    </row>
    <row r="340" spans="1:22" ht="38.25" hidden="1">
      <c r="A340" s="5" t="s">
        <v>42</v>
      </c>
      <c r="B340" s="110" t="s">
        <v>109</v>
      </c>
      <c r="C340" s="116" t="s">
        <v>110</v>
      </c>
      <c r="D340" s="117">
        <v>9510010520</v>
      </c>
      <c r="E340" s="117"/>
      <c r="F340" s="117"/>
      <c r="G340" s="111"/>
      <c r="H340" s="112">
        <f>H341</f>
        <v>0</v>
      </c>
      <c r="I340" s="112">
        <f aca="true" t="shared" si="111" ref="I340:T340">I341</f>
        <v>0</v>
      </c>
      <c r="J340" s="112">
        <f t="shared" si="111"/>
        <v>0</v>
      </c>
      <c r="K340" s="112">
        <f t="shared" si="111"/>
        <v>0</v>
      </c>
      <c r="L340" s="112">
        <f t="shared" si="111"/>
        <v>0</v>
      </c>
      <c r="M340" s="112">
        <f t="shared" si="111"/>
        <v>0</v>
      </c>
      <c r="N340" s="112">
        <f t="shared" si="111"/>
        <v>0</v>
      </c>
      <c r="O340" s="112">
        <f t="shared" si="111"/>
        <v>0</v>
      </c>
      <c r="P340" s="112">
        <f t="shared" si="111"/>
        <v>0</v>
      </c>
      <c r="Q340" s="112">
        <f t="shared" si="111"/>
        <v>0</v>
      </c>
      <c r="R340" s="112">
        <f t="shared" si="111"/>
        <v>0</v>
      </c>
      <c r="S340" s="112">
        <f t="shared" si="111"/>
        <v>0</v>
      </c>
      <c r="T340" s="112">
        <f t="shared" si="111"/>
        <v>0</v>
      </c>
      <c r="U340" s="24">
        <f t="shared" si="110"/>
        <v>0</v>
      </c>
      <c r="V340" s="21">
        <f t="shared" si="105"/>
        <v>0</v>
      </c>
    </row>
    <row r="341" spans="1:22" ht="25.5" hidden="1">
      <c r="A341" s="5" t="s">
        <v>42</v>
      </c>
      <c r="B341" s="3" t="s">
        <v>16</v>
      </c>
      <c r="C341" s="142" t="s">
        <v>110</v>
      </c>
      <c r="D341" s="127">
        <v>9510010520</v>
      </c>
      <c r="E341" s="127">
        <v>870</v>
      </c>
      <c r="F341" s="127">
        <v>290</v>
      </c>
      <c r="G341" s="109" t="s">
        <v>111</v>
      </c>
      <c r="H341" s="89">
        <v>0</v>
      </c>
      <c r="I341" s="89">
        <v>0</v>
      </c>
      <c r="J341" s="89">
        <v>0</v>
      </c>
      <c r="K341" s="89">
        <v>0</v>
      </c>
      <c r="L341" s="89">
        <v>0</v>
      </c>
      <c r="M341" s="89">
        <v>0</v>
      </c>
      <c r="N341" s="89">
        <v>0</v>
      </c>
      <c r="O341" s="89">
        <v>0</v>
      </c>
      <c r="P341" s="89">
        <v>0</v>
      </c>
      <c r="Q341" s="89">
        <v>0</v>
      </c>
      <c r="R341" s="89">
        <v>0</v>
      </c>
      <c r="S341" s="89">
        <v>0</v>
      </c>
      <c r="T341" s="89">
        <v>0</v>
      </c>
      <c r="U341" s="24">
        <f t="shared" si="110"/>
        <v>0</v>
      </c>
      <c r="V341" s="21">
        <f t="shared" si="105"/>
        <v>0</v>
      </c>
    </row>
    <row r="342" spans="1:22" ht="12.75">
      <c r="A342" s="5"/>
      <c r="B342" s="76"/>
      <c r="C342" s="136"/>
      <c r="D342" s="127"/>
      <c r="E342" s="127"/>
      <c r="F342" s="127"/>
      <c r="G342" s="86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24">
        <f t="shared" si="110"/>
        <v>0</v>
      </c>
      <c r="V342" s="21">
        <f t="shared" si="105"/>
        <v>0</v>
      </c>
    </row>
    <row r="343" spans="1:22" ht="12.75">
      <c r="A343" s="5"/>
      <c r="B343" s="76"/>
      <c r="C343" s="136"/>
      <c r="D343" s="127"/>
      <c r="E343" s="127"/>
      <c r="F343" s="127"/>
      <c r="G343" s="86"/>
      <c r="H343" s="91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24">
        <f t="shared" si="110"/>
        <v>0</v>
      </c>
      <c r="V343" s="21">
        <f t="shared" si="105"/>
        <v>0</v>
      </c>
    </row>
    <row r="344" spans="1:22" ht="12.75">
      <c r="A344" s="53"/>
      <c r="B344" s="54" t="s">
        <v>99</v>
      </c>
      <c r="C344" s="95"/>
      <c r="D344" s="84"/>
      <c r="E344" s="84"/>
      <c r="F344" s="84"/>
      <c r="G344" s="93"/>
      <c r="H344" s="94">
        <f aca="true" t="shared" si="112" ref="H344:T344">H338</f>
        <v>5042540.18</v>
      </c>
      <c r="I344" s="94">
        <f t="shared" si="112"/>
        <v>381500</v>
      </c>
      <c r="J344" s="94">
        <f t="shared" si="112"/>
        <v>265560</v>
      </c>
      <c r="K344" s="94">
        <f t="shared" si="112"/>
        <v>288500</v>
      </c>
      <c r="L344" s="94">
        <f t="shared" si="112"/>
        <v>575340.1799999999</v>
      </c>
      <c r="M344" s="94">
        <f t="shared" si="112"/>
        <v>275385</v>
      </c>
      <c r="N344" s="94">
        <f t="shared" si="112"/>
        <v>238900</v>
      </c>
      <c r="O344" s="94">
        <f t="shared" si="112"/>
        <v>436500</v>
      </c>
      <c r="P344" s="94">
        <f t="shared" si="112"/>
        <v>375900</v>
      </c>
      <c r="Q344" s="94">
        <f t="shared" si="112"/>
        <v>376000</v>
      </c>
      <c r="R344" s="94">
        <f t="shared" si="112"/>
        <v>587415</v>
      </c>
      <c r="S344" s="94">
        <f t="shared" si="112"/>
        <v>515600</v>
      </c>
      <c r="T344" s="94">
        <f t="shared" si="112"/>
        <v>725940</v>
      </c>
      <c r="U344" s="24">
        <f t="shared" si="110"/>
        <v>5042540.18</v>
      </c>
      <c r="V344" s="199">
        <f t="shared" si="105"/>
        <v>5042540.18</v>
      </c>
    </row>
    <row r="345" spans="1:22" ht="12.75">
      <c r="A345" s="5"/>
      <c r="B345" s="76"/>
      <c r="C345" s="73"/>
      <c r="D345" s="50"/>
      <c r="E345" s="50"/>
      <c r="F345" s="50"/>
      <c r="G345" s="86"/>
      <c r="H345" s="91"/>
      <c r="I345" s="89"/>
      <c r="J345" s="89"/>
      <c r="K345" s="89"/>
      <c r="L345" s="89"/>
      <c r="M345" s="89"/>
      <c r="N345" s="89"/>
      <c r="O345" s="89"/>
      <c r="P345" s="89"/>
      <c r="Q345" s="89"/>
      <c r="R345" s="89"/>
      <c r="S345" s="89"/>
      <c r="T345" s="89"/>
      <c r="U345" s="24"/>
      <c r="V345" s="21">
        <f t="shared" si="105"/>
        <v>0</v>
      </c>
    </row>
    <row r="346" spans="1:22" ht="12.75">
      <c r="A346" s="5"/>
      <c r="B346" s="88"/>
      <c r="C346" s="49"/>
      <c r="D346" s="50"/>
      <c r="E346" s="50"/>
      <c r="F346" s="50"/>
      <c r="G346" s="86"/>
      <c r="H346" s="89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24"/>
      <c r="V346" s="21">
        <f t="shared" si="105"/>
        <v>0</v>
      </c>
    </row>
    <row r="347" spans="1:22" ht="15">
      <c r="A347" s="5"/>
      <c r="B347" s="231" t="s">
        <v>28</v>
      </c>
      <c r="C347" s="231"/>
      <c r="D347" s="231"/>
      <c r="E347" s="231"/>
      <c r="F347" s="231"/>
      <c r="G347" s="232"/>
      <c r="H347" s="99">
        <f>H114+H122+H142+H170+H224+H235+H299+H311+H344+H340</f>
        <v>62876553.800000004</v>
      </c>
      <c r="I347" s="99">
        <f aca="true" t="shared" si="113" ref="I347:T347">I114+I122+I142+I170+I224+I235+I299+I311+I344+I340</f>
        <v>2560598.08</v>
      </c>
      <c r="J347" s="99">
        <f t="shared" si="113"/>
        <v>2529901.94</v>
      </c>
      <c r="K347" s="99">
        <f t="shared" si="113"/>
        <v>2691977.73</v>
      </c>
      <c r="L347" s="99">
        <f t="shared" si="113"/>
        <v>3897480.1799999997</v>
      </c>
      <c r="M347" s="99">
        <f t="shared" si="113"/>
        <v>2958350</v>
      </c>
      <c r="N347" s="99">
        <f t="shared" si="113"/>
        <v>2609433.67</v>
      </c>
      <c r="O347" s="99">
        <f t="shared" si="113"/>
        <v>3407210.7199999997</v>
      </c>
      <c r="P347" s="99">
        <f t="shared" si="113"/>
        <v>4295150</v>
      </c>
      <c r="Q347" s="99">
        <f t="shared" si="113"/>
        <v>3148240</v>
      </c>
      <c r="R347" s="99">
        <f t="shared" si="113"/>
        <v>5906805</v>
      </c>
      <c r="S347" s="99">
        <f t="shared" si="113"/>
        <v>19100874.48</v>
      </c>
      <c r="T347" s="99">
        <f t="shared" si="113"/>
        <v>9764532</v>
      </c>
      <c r="U347" s="24">
        <f>I347+J347+K347+L347+M347+N347+O347+P347+Q347+R347+S347+T347</f>
        <v>62870553.8</v>
      </c>
      <c r="V347" s="21">
        <f>V114+V120+V142+V170+V224+V235+V299+V311+V344</f>
        <v>62876553.800000004</v>
      </c>
    </row>
    <row r="350" spans="1:11" ht="12.75">
      <c r="A350" s="226" t="s">
        <v>162</v>
      </c>
      <c r="B350" s="226"/>
      <c r="C350" s="226"/>
      <c r="D350" s="226"/>
      <c r="E350" s="226"/>
      <c r="F350" s="226"/>
      <c r="G350" s="226"/>
      <c r="K350" t="s">
        <v>163</v>
      </c>
    </row>
    <row r="351" spans="1:7" ht="12.75">
      <c r="A351" s="184"/>
      <c r="B351" s="184"/>
      <c r="C351" s="184"/>
      <c r="D351" s="184"/>
      <c r="E351" s="184"/>
      <c r="F351" s="184"/>
      <c r="G351" s="184"/>
    </row>
    <row r="352" spans="1:7" ht="12.75">
      <c r="A352" s="184"/>
      <c r="B352" s="184"/>
      <c r="C352" s="184"/>
      <c r="D352" s="184"/>
      <c r="E352" s="184"/>
      <c r="F352" s="184"/>
      <c r="G352" s="184"/>
    </row>
    <row r="353" spans="1:7" ht="12.75">
      <c r="A353" s="184"/>
      <c r="B353" s="184"/>
      <c r="C353" s="184"/>
      <c r="D353" s="184"/>
      <c r="E353" s="184"/>
      <c r="F353" s="184"/>
      <c r="G353" s="184"/>
    </row>
    <row r="357" spans="1:4" ht="12.75">
      <c r="A357" s="226" t="s">
        <v>164</v>
      </c>
      <c r="B357" s="226"/>
      <c r="C357" s="226"/>
      <c r="D357" s="226"/>
    </row>
    <row r="358" spans="1:11" ht="12.75">
      <c r="A358" s="226" t="s">
        <v>165</v>
      </c>
      <c r="B358" s="226"/>
      <c r="C358" s="226"/>
      <c r="D358" s="226"/>
      <c r="E358" s="226"/>
      <c r="F358" s="226"/>
      <c r="G358" s="226"/>
      <c r="K358" t="s">
        <v>166</v>
      </c>
    </row>
  </sheetData>
  <sheetProtection/>
  <mergeCells count="24">
    <mergeCell ref="A357:D357"/>
    <mergeCell ref="A358:G358"/>
    <mergeCell ref="T4:T5"/>
    <mergeCell ref="G271:G272"/>
    <mergeCell ref="G273:G274"/>
    <mergeCell ref="G275:G276"/>
    <mergeCell ref="B347:G347"/>
    <mergeCell ref="A350:G350"/>
    <mergeCell ref="N4:N5"/>
    <mergeCell ref="O4:O5"/>
    <mergeCell ref="A2:T2"/>
    <mergeCell ref="A4:A5"/>
    <mergeCell ref="B4:B5"/>
    <mergeCell ref="C4:G4"/>
    <mergeCell ref="H4:H5"/>
    <mergeCell ref="I4:I5"/>
    <mergeCell ref="J4:J5"/>
    <mergeCell ref="K4:K5"/>
    <mergeCell ref="L4:L5"/>
    <mergeCell ref="M4:M5"/>
    <mergeCell ref="P4:P5"/>
    <mergeCell ref="Q4:Q5"/>
    <mergeCell ref="R4:R5"/>
    <mergeCell ref="S4:S5"/>
  </mergeCells>
  <printOptions/>
  <pageMargins left="0.24" right="0.16" top="0.23" bottom="0.22" header="0.2" footer="0.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U355"/>
  <sheetViews>
    <sheetView zoomScalePageLayoutView="0" workbookViewId="0" topLeftCell="A131">
      <selection activeCell="H137" sqref="H137:T139"/>
    </sheetView>
  </sheetViews>
  <sheetFormatPr defaultColWidth="9.140625" defaultRowHeight="12.75"/>
  <cols>
    <col min="1" max="1" width="10.421875" style="4" customWidth="1"/>
    <col min="2" max="2" width="30.28125" style="0" customWidth="1"/>
    <col min="4" max="4" width="13.00390625" style="0" customWidth="1"/>
    <col min="5" max="5" width="5.8515625" style="0" customWidth="1"/>
    <col min="6" max="6" width="4.7109375" style="0" customWidth="1"/>
    <col min="7" max="7" width="12.28125" style="0" customWidth="1"/>
    <col min="8" max="8" width="17.00390625" style="0" customWidth="1"/>
    <col min="9" max="9" width="14.28125" style="0" customWidth="1"/>
    <col min="10" max="10" width="17.140625" style="0" customWidth="1"/>
    <col min="11" max="11" width="13.421875" style="0" customWidth="1"/>
    <col min="12" max="12" width="14.28125" style="0" customWidth="1"/>
    <col min="13" max="13" width="13.7109375" style="0" customWidth="1"/>
    <col min="14" max="14" width="15.00390625" style="0" customWidth="1"/>
    <col min="15" max="15" width="15.7109375" style="0" customWidth="1"/>
    <col min="16" max="16" width="14.28125" style="0" customWidth="1"/>
    <col min="17" max="17" width="13.57421875" style="0" customWidth="1"/>
    <col min="18" max="18" width="14.00390625" style="0" customWidth="1"/>
    <col min="19" max="19" width="13.7109375" style="0" customWidth="1"/>
    <col min="20" max="20" width="13.8515625" style="0" customWidth="1"/>
    <col min="21" max="21" width="13.8515625" style="0" hidden="1" customWidth="1"/>
  </cols>
  <sheetData>
    <row r="2" spans="1:20" ht="15.75">
      <c r="A2" s="218" t="s">
        <v>167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thickBot="1"/>
    <row r="4" spans="1:20" ht="12.75">
      <c r="A4" s="219" t="s">
        <v>29</v>
      </c>
      <c r="B4" s="221" t="s">
        <v>0</v>
      </c>
      <c r="C4" s="223"/>
      <c r="D4" s="223"/>
      <c r="E4" s="223"/>
      <c r="F4" s="223"/>
      <c r="G4" s="223"/>
      <c r="H4" s="224" t="s">
        <v>1</v>
      </c>
      <c r="I4" s="216" t="s">
        <v>30</v>
      </c>
      <c r="J4" s="216" t="s">
        <v>31</v>
      </c>
      <c r="K4" s="216" t="s">
        <v>32</v>
      </c>
      <c r="L4" s="216" t="s">
        <v>33</v>
      </c>
      <c r="M4" s="216" t="s">
        <v>34</v>
      </c>
      <c r="N4" s="216" t="s">
        <v>35</v>
      </c>
      <c r="O4" s="216" t="s">
        <v>36</v>
      </c>
      <c r="P4" s="216" t="s">
        <v>37</v>
      </c>
      <c r="Q4" s="216" t="s">
        <v>38</v>
      </c>
      <c r="R4" s="216" t="s">
        <v>39</v>
      </c>
      <c r="S4" s="216" t="s">
        <v>40</v>
      </c>
      <c r="T4" s="227" t="s">
        <v>41</v>
      </c>
    </row>
    <row r="5" spans="1:21" ht="26.25" thickBot="1">
      <c r="A5" s="220"/>
      <c r="B5" s="222"/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225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28"/>
      <c r="U5" s="22" t="s">
        <v>51</v>
      </c>
    </row>
    <row r="6" spans="1:21" ht="12.75">
      <c r="A6" s="5" t="s">
        <v>42</v>
      </c>
      <c r="B6" s="3" t="s">
        <v>7</v>
      </c>
      <c r="C6" s="144" t="s">
        <v>10</v>
      </c>
      <c r="D6" s="145">
        <v>9010000190</v>
      </c>
      <c r="E6" s="145">
        <v>121</v>
      </c>
      <c r="F6" s="7">
        <v>211</v>
      </c>
      <c r="G6" s="1"/>
      <c r="H6" s="15">
        <v>914100</v>
      </c>
      <c r="I6" s="18">
        <f>72500+3625</f>
        <v>76125</v>
      </c>
      <c r="J6" s="18">
        <f aca="true" t="shared" si="0" ref="J6:T6">72500+3625</f>
        <v>76125</v>
      </c>
      <c r="K6" s="18">
        <f t="shared" si="0"/>
        <v>76125</v>
      </c>
      <c r="L6" s="18">
        <f t="shared" si="0"/>
        <v>76125</v>
      </c>
      <c r="M6" s="18">
        <f t="shared" si="0"/>
        <v>76125</v>
      </c>
      <c r="N6" s="18">
        <f t="shared" si="0"/>
        <v>76125</v>
      </c>
      <c r="O6" s="18">
        <f t="shared" si="0"/>
        <v>76125</v>
      </c>
      <c r="P6" s="18">
        <f t="shared" si="0"/>
        <v>76125</v>
      </c>
      <c r="Q6" s="18">
        <f t="shared" si="0"/>
        <v>76125</v>
      </c>
      <c r="R6" s="18">
        <f t="shared" si="0"/>
        <v>76125</v>
      </c>
      <c r="S6" s="18">
        <f>72500+3625+600</f>
        <v>76725</v>
      </c>
      <c r="T6" s="18">
        <f t="shared" si="0"/>
        <v>76125</v>
      </c>
      <c r="U6" s="21">
        <f aca="true" t="shared" si="1" ref="U6:U23">I6+J6+K6+L6+M6+N6+O6+P6+Q6+R6+S6+T6</f>
        <v>914100</v>
      </c>
    </row>
    <row r="7" spans="1:21" ht="12.75">
      <c r="A7" s="5" t="s">
        <v>42</v>
      </c>
      <c r="B7" s="3" t="s">
        <v>9</v>
      </c>
      <c r="C7" s="144" t="s">
        <v>10</v>
      </c>
      <c r="D7" s="145">
        <v>9010000190</v>
      </c>
      <c r="E7" s="145">
        <v>129</v>
      </c>
      <c r="F7" s="7">
        <v>213</v>
      </c>
      <c r="G7" s="1"/>
      <c r="H7" s="15">
        <v>276100</v>
      </c>
      <c r="I7" s="18">
        <f>21900+1100</f>
        <v>23000</v>
      </c>
      <c r="J7" s="18">
        <f aca="true" t="shared" si="2" ref="J7:T7">21900+1100</f>
        <v>23000</v>
      </c>
      <c r="K7" s="18">
        <f t="shared" si="2"/>
        <v>23000</v>
      </c>
      <c r="L7" s="18">
        <f t="shared" si="2"/>
        <v>23000</v>
      </c>
      <c r="M7" s="18">
        <f t="shared" si="2"/>
        <v>23000</v>
      </c>
      <c r="N7" s="18">
        <f t="shared" si="2"/>
        <v>23000</v>
      </c>
      <c r="O7" s="18">
        <f t="shared" si="2"/>
        <v>23000</v>
      </c>
      <c r="P7" s="18">
        <f t="shared" si="2"/>
        <v>23000</v>
      </c>
      <c r="Q7" s="18">
        <f t="shared" si="2"/>
        <v>23000</v>
      </c>
      <c r="R7" s="18">
        <f t="shared" si="2"/>
        <v>23000</v>
      </c>
      <c r="S7" s="18">
        <f>21900+1200</f>
        <v>23100</v>
      </c>
      <c r="T7" s="18">
        <f t="shared" si="2"/>
        <v>23000</v>
      </c>
      <c r="U7" s="21">
        <f t="shared" si="1"/>
        <v>276100</v>
      </c>
    </row>
    <row r="8" spans="1:21" ht="15.75" customHeight="1">
      <c r="A8" s="5" t="s">
        <v>42</v>
      </c>
      <c r="B8" s="11" t="s">
        <v>15</v>
      </c>
      <c r="C8" s="144" t="s">
        <v>10</v>
      </c>
      <c r="D8" s="145">
        <v>9010000190</v>
      </c>
      <c r="E8" s="145">
        <v>244</v>
      </c>
      <c r="F8" s="7">
        <v>226</v>
      </c>
      <c r="G8" s="6"/>
      <c r="H8" s="15">
        <v>3300</v>
      </c>
      <c r="I8" s="18">
        <v>0</v>
      </c>
      <c r="J8" s="18">
        <v>0</v>
      </c>
      <c r="K8" s="18">
        <v>0</v>
      </c>
      <c r="L8" s="18">
        <v>1100</v>
      </c>
      <c r="M8" s="18">
        <v>0</v>
      </c>
      <c r="N8" s="18">
        <v>0</v>
      </c>
      <c r="O8" s="18">
        <v>1100</v>
      </c>
      <c r="P8" s="18">
        <v>0</v>
      </c>
      <c r="Q8" s="18">
        <v>0</v>
      </c>
      <c r="R8" s="18">
        <v>1100</v>
      </c>
      <c r="S8" s="18">
        <v>0</v>
      </c>
      <c r="T8" s="18">
        <v>0</v>
      </c>
      <c r="U8" s="21">
        <f t="shared" si="1"/>
        <v>3300</v>
      </c>
    </row>
    <row r="9" spans="1:21" ht="12.75">
      <c r="A9" s="5"/>
      <c r="B9" s="29" t="s">
        <v>53</v>
      </c>
      <c r="C9" s="146" t="s">
        <v>10</v>
      </c>
      <c r="D9" s="115"/>
      <c r="E9" s="115"/>
      <c r="F9" s="115"/>
      <c r="G9" s="29"/>
      <c r="H9" s="14">
        <f aca="true" t="shared" si="3" ref="H9:T9">H6+H7+H8</f>
        <v>1193500</v>
      </c>
      <c r="I9" s="14">
        <f t="shared" si="3"/>
        <v>99125</v>
      </c>
      <c r="J9" s="14">
        <f t="shared" si="3"/>
        <v>99125</v>
      </c>
      <c r="K9" s="14">
        <f t="shared" si="3"/>
        <v>99125</v>
      </c>
      <c r="L9" s="14">
        <f t="shared" si="3"/>
        <v>100225</v>
      </c>
      <c r="M9" s="14">
        <f t="shared" si="3"/>
        <v>99125</v>
      </c>
      <c r="N9" s="14">
        <f t="shared" si="3"/>
        <v>99125</v>
      </c>
      <c r="O9" s="14">
        <f t="shared" si="3"/>
        <v>100225</v>
      </c>
      <c r="P9" s="14">
        <f t="shared" si="3"/>
        <v>99125</v>
      </c>
      <c r="Q9" s="14">
        <f t="shared" si="3"/>
        <v>99125</v>
      </c>
      <c r="R9" s="14">
        <f t="shared" si="3"/>
        <v>100225</v>
      </c>
      <c r="S9" s="14">
        <f t="shared" si="3"/>
        <v>99825</v>
      </c>
      <c r="T9" s="14">
        <f t="shared" si="3"/>
        <v>99125</v>
      </c>
      <c r="U9" s="23">
        <f t="shared" si="1"/>
        <v>1193500</v>
      </c>
    </row>
    <row r="10" spans="1:21" ht="93.75" customHeight="1">
      <c r="A10" s="26" t="s">
        <v>42</v>
      </c>
      <c r="B10" s="27" t="s">
        <v>112</v>
      </c>
      <c r="C10" s="148" t="s">
        <v>11</v>
      </c>
      <c r="D10" s="148">
        <v>5100000000</v>
      </c>
      <c r="E10" s="117"/>
      <c r="F10" s="117"/>
      <c r="G10" s="28"/>
      <c r="H10" s="38">
        <f>H11+H12+H13+H14+H15+H16+H17+H18+H20+H21+H19+H22+H23</f>
        <v>6734400</v>
      </c>
      <c r="I10" s="38">
        <f aca="true" t="shared" si="4" ref="I10:T10">I11+I12+I13+I14+I15+I16+I17+I18+I20+I21+I19+I22+I23</f>
        <v>248100</v>
      </c>
      <c r="J10" s="38">
        <f t="shared" si="4"/>
        <v>351100</v>
      </c>
      <c r="K10" s="38">
        <f t="shared" si="4"/>
        <v>317860</v>
      </c>
      <c r="L10" s="38">
        <f t="shared" si="4"/>
        <v>440700</v>
      </c>
      <c r="M10" s="38">
        <f t="shared" si="4"/>
        <v>448200</v>
      </c>
      <c r="N10" s="38">
        <f t="shared" si="4"/>
        <v>419100</v>
      </c>
      <c r="O10" s="38">
        <f t="shared" si="4"/>
        <v>443600</v>
      </c>
      <c r="P10" s="38">
        <f t="shared" si="4"/>
        <v>649100</v>
      </c>
      <c r="Q10" s="38">
        <f t="shared" si="4"/>
        <v>418200</v>
      </c>
      <c r="R10" s="38">
        <f t="shared" si="4"/>
        <v>831200</v>
      </c>
      <c r="S10" s="38">
        <f t="shared" si="4"/>
        <v>810450</v>
      </c>
      <c r="T10" s="38">
        <f t="shared" si="4"/>
        <v>1356790</v>
      </c>
      <c r="U10" s="30">
        <f t="shared" si="1"/>
        <v>6734400</v>
      </c>
    </row>
    <row r="11" spans="1:21" ht="12.75">
      <c r="A11" s="5" t="s">
        <v>42</v>
      </c>
      <c r="B11" s="3" t="s">
        <v>7</v>
      </c>
      <c r="C11" s="144" t="s">
        <v>11</v>
      </c>
      <c r="D11" s="145">
        <v>5110100190</v>
      </c>
      <c r="E11" s="145">
        <v>121</v>
      </c>
      <c r="F11" s="144">
        <v>211</v>
      </c>
      <c r="G11" s="1"/>
      <c r="H11" s="15">
        <v>4878100</v>
      </c>
      <c r="I11" s="12">
        <f>196900+9500</f>
        <v>206400</v>
      </c>
      <c r="J11" s="12">
        <f>296900+9500</f>
        <v>306400</v>
      </c>
      <c r="K11" s="12">
        <f>266900+9500</f>
        <v>276400</v>
      </c>
      <c r="L11" s="12">
        <f>296900+9500</f>
        <v>306400</v>
      </c>
      <c r="M11" s="12">
        <f>296900+9500</f>
        <v>306400</v>
      </c>
      <c r="N11" s="12">
        <f>296900+9500</f>
        <v>306400</v>
      </c>
      <c r="O11" s="12">
        <f>296900+9500</f>
        <v>306400</v>
      </c>
      <c r="P11" s="12">
        <f>496900+9500</f>
        <v>506400</v>
      </c>
      <c r="Q11" s="12">
        <f>296900+9500</f>
        <v>306400</v>
      </c>
      <c r="R11" s="12">
        <f>596900+9500</f>
        <v>606400</v>
      </c>
      <c r="S11" s="12">
        <f>526900+10300</f>
        <v>537200</v>
      </c>
      <c r="T11" s="12">
        <f>897400+9500</f>
        <v>906900</v>
      </c>
      <c r="U11" s="24">
        <f t="shared" si="1"/>
        <v>4878100</v>
      </c>
    </row>
    <row r="12" spans="1:21" ht="12.75">
      <c r="A12" s="5" t="s">
        <v>42</v>
      </c>
      <c r="B12" s="3" t="s">
        <v>9</v>
      </c>
      <c r="C12" s="144" t="s">
        <v>11</v>
      </c>
      <c r="D12" s="145">
        <v>5110100190</v>
      </c>
      <c r="E12" s="145">
        <v>129</v>
      </c>
      <c r="F12" s="144">
        <v>213</v>
      </c>
      <c r="G12" s="1"/>
      <c r="H12" s="15">
        <v>1473200</v>
      </c>
      <c r="I12" s="12">
        <f>19900+2800</f>
        <v>22700</v>
      </c>
      <c r="J12" s="12">
        <f>19900+2800</f>
        <v>22700</v>
      </c>
      <c r="K12" s="12">
        <f>19560+2800</f>
        <v>22360</v>
      </c>
      <c r="L12" s="12">
        <f>89900+2800</f>
        <v>92700</v>
      </c>
      <c r="M12" s="12">
        <f>119900+2800</f>
        <v>122700</v>
      </c>
      <c r="N12" s="12">
        <f>89900+2800</f>
        <v>92700</v>
      </c>
      <c r="O12" s="12">
        <f>89900+2800</f>
        <v>92700</v>
      </c>
      <c r="P12" s="12">
        <f>119900+2800</f>
        <v>122700</v>
      </c>
      <c r="Q12" s="12">
        <f>89900+2800</f>
        <v>92700</v>
      </c>
      <c r="R12" s="12">
        <f>179900+2800</f>
        <v>182700</v>
      </c>
      <c r="S12" s="12">
        <f>249900+3350</f>
        <v>253250</v>
      </c>
      <c r="T12" s="12">
        <f>349940+3350</f>
        <v>353290</v>
      </c>
      <c r="U12" s="24">
        <f t="shared" si="1"/>
        <v>1473200</v>
      </c>
    </row>
    <row r="13" spans="1:21" ht="12.75" hidden="1">
      <c r="A13" s="25" t="s">
        <v>42</v>
      </c>
      <c r="B13" s="3" t="s">
        <v>12</v>
      </c>
      <c r="C13" s="113" t="s">
        <v>11</v>
      </c>
      <c r="D13" s="114">
        <v>5110100190</v>
      </c>
      <c r="E13" s="114">
        <v>244</v>
      </c>
      <c r="F13" s="113">
        <v>221</v>
      </c>
      <c r="G13" s="1"/>
      <c r="H13" s="15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24">
        <f t="shared" si="1"/>
        <v>0</v>
      </c>
    </row>
    <row r="14" spans="1:21" ht="12.75" hidden="1">
      <c r="A14" s="5" t="s">
        <v>42</v>
      </c>
      <c r="B14" s="3" t="s">
        <v>13</v>
      </c>
      <c r="C14" s="113" t="s">
        <v>11</v>
      </c>
      <c r="D14" s="114">
        <v>5110100190</v>
      </c>
      <c r="E14" s="114">
        <v>244</v>
      </c>
      <c r="F14" s="113">
        <v>223</v>
      </c>
      <c r="G14" s="2" t="s">
        <v>43</v>
      </c>
      <c r="H14" s="15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4">
        <f t="shared" si="1"/>
        <v>0</v>
      </c>
    </row>
    <row r="15" spans="1:21" ht="12.75" hidden="1">
      <c r="A15" s="5" t="s">
        <v>42</v>
      </c>
      <c r="B15" s="3" t="s">
        <v>13</v>
      </c>
      <c r="C15" s="113" t="s">
        <v>11</v>
      </c>
      <c r="D15" s="114">
        <v>5110100190</v>
      </c>
      <c r="E15" s="114">
        <v>244</v>
      </c>
      <c r="F15" s="113">
        <v>223</v>
      </c>
      <c r="G15" s="9" t="s">
        <v>44</v>
      </c>
      <c r="H15" s="15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4">
        <f t="shared" si="1"/>
        <v>0</v>
      </c>
    </row>
    <row r="16" spans="1:21" ht="12.75" hidden="1">
      <c r="A16" s="5" t="s">
        <v>42</v>
      </c>
      <c r="B16" s="3" t="s">
        <v>13</v>
      </c>
      <c r="C16" s="113" t="s">
        <v>11</v>
      </c>
      <c r="D16" s="114">
        <v>5110100190</v>
      </c>
      <c r="E16" s="114">
        <v>244</v>
      </c>
      <c r="F16" s="113">
        <v>223</v>
      </c>
      <c r="G16" s="2" t="s">
        <v>45</v>
      </c>
      <c r="H16" s="15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24">
        <f t="shared" si="1"/>
        <v>0</v>
      </c>
    </row>
    <row r="17" spans="1:21" ht="12.75" hidden="1">
      <c r="A17" s="5" t="s">
        <v>42</v>
      </c>
      <c r="B17" s="3" t="s">
        <v>14</v>
      </c>
      <c r="C17" s="113" t="s">
        <v>11</v>
      </c>
      <c r="D17" s="114">
        <v>5110100190</v>
      </c>
      <c r="E17" s="114">
        <v>244</v>
      </c>
      <c r="F17" s="113">
        <v>225</v>
      </c>
      <c r="G17" s="2"/>
      <c r="H17" s="15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4">
        <f t="shared" si="1"/>
        <v>0</v>
      </c>
    </row>
    <row r="18" spans="1:21" ht="12.75" hidden="1">
      <c r="A18" s="5" t="s">
        <v>42</v>
      </c>
      <c r="B18" s="3" t="s">
        <v>16</v>
      </c>
      <c r="C18" s="113" t="s">
        <v>11</v>
      </c>
      <c r="D18" s="114">
        <v>5110100190</v>
      </c>
      <c r="E18" s="114">
        <v>851</v>
      </c>
      <c r="F18" s="113">
        <v>290</v>
      </c>
      <c r="G18" s="2" t="s">
        <v>60</v>
      </c>
      <c r="H18" s="17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24">
        <f t="shared" si="1"/>
        <v>0</v>
      </c>
    </row>
    <row r="19" spans="1:21" ht="12.75">
      <c r="A19" s="5" t="s">
        <v>42</v>
      </c>
      <c r="B19" s="3" t="s">
        <v>15</v>
      </c>
      <c r="C19" s="144" t="s">
        <v>11</v>
      </c>
      <c r="D19" s="145">
        <v>5110100190</v>
      </c>
      <c r="E19" s="145">
        <v>244</v>
      </c>
      <c r="F19" s="144">
        <v>226</v>
      </c>
      <c r="G19" s="2"/>
      <c r="H19" s="17">
        <v>3100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3100</v>
      </c>
      <c r="U19" s="24">
        <f t="shared" si="1"/>
        <v>3100</v>
      </c>
    </row>
    <row r="20" spans="1:21" ht="12.75" hidden="1">
      <c r="A20" s="5" t="s">
        <v>42</v>
      </c>
      <c r="B20" s="3" t="s">
        <v>17</v>
      </c>
      <c r="C20" s="113" t="s">
        <v>11</v>
      </c>
      <c r="D20" s="114">
        <v>5110100190</v>
      </c>
      <c r="E20" s="114">
        <v>244</v>
      </c>
      <c r="F20" s="113">
        <v>340</v>
      </c>
      <c r="G20" s="7"/>
      <c r="H20" s="17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24">
        <f t="shared" si="1"/>
        <v>0</v>
      </c>
    </row>
    <row r="21" spans="1:21" ht="12.75" hidden="1">
      <c r="A21" s="5" t="s">
        <v>42</v>
      </c>
      <c r="B21" s="3" t="s">
        <v>17</v>
      </c>
      <c r="C21" s="113" t="s">
        <v>11</v>
      </c>
      <c r="D21" s="114">
        <v>5110100190</v>
      </c>
      <c r="E21" s="114">
        <v>244</v>
      </c>
      <c r="F21" s="113">
        <v>340</v>
      </c>
      <c r="G21" s="7" t="s">
        <v>46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24">
        <f t="shared" si="1"/>
        <v>0</v>
      </c>
    </row>
    <row r="22" spans="1:21" ht="25.5">
      <c r="A22" s="5" t="s">
        <v>42</v>
      </c>
      <c r="B22" s="3" t="s">
        <v>17</v>
      </c>
      <c r="C22" s="144" t="s">
        <v>11</v>
      </c>
      <c r="D22" s="145">
        <v>5110100190</v>
      </c>
      <c r="E22" s="145">
        <v>244</v>
      </c>
      <c r="F22" s="144">
        <v>340</v>
      </c>
      <c r="G22" s="147" t="s">
        <v>113</v>
      </c>
      <c r="H22" s="17">
        <v>290000</v>
      </c>
      <c r="I22" s="16">
        <v>19000</v>
      </c>
      <c r="J22" s="16">
        <v>22000</v>
      </c>
      <c r="K22" s="16">
        <v>19100</v>
      </c>
      <c r="L22" s="16">
        <v>19100</v>
      </c>
      <c r="M22" s="16">
        <v>19100</v>
      </c>
      <c r="N22" s="16">
        <v>20000</v>
      </c>
      <c r="O22" s="16">
        <v>22000</v>
      </c>
      <c r="P22" s="16">
        <v>20000</v>
      </c>
      <c r="Q22" s="16">
        <v>19100</v>
      </c>
      <c r="R22" s="16">
        <v>19600</v>
      </c>
      <c r="S22" s="16">
        <v>20000</v>
      </c>
      <c r="T22" s="16">
        <v>71000</v>
      </c>
      <c r="U22" s="24">
        <f t="shared" si="1"/>
        <v>290000</v>
      </c>
    </row>
    <row r="23" spans="1:21" ht="12.75">
      <c r="A23" s="5" t="s">
        <v>42</v>
      </c>
      <c r="B23" s="3" t="s">
        <v>16</v>
      </c>
      <c r="C23" s="144" t="s">
        <v>11</v>
      </c>
      <c r="D23" s="145">
        <v>5110100190</v>
      </c>
      <c r="E23" s="145">
        <v>244</v>
      </c>
      <c r="F23" s="144">
        <v>290</v>
      </c>
      <c r="G23" s="147" t="s">
        <v>60</v>
      </c>
      <c r="H23" s="17">
        <v>90000</v>
      </c>
      <c r="I23" s="16">
        <v>0</v>
      </c>
      <c r="J23" s="16">
        <v>0</v>
      </c>
      <c r="K23" s="16">
        <v>0</v>
      </c>
      <c r="L23" s="16">
        <v>22500</v>
      </c>
      <c r="M23" s="16">
        <v>0</v>
      </c>
      <c r="N23" s="16">
        <v>0</v>
      </c>
      <c r="O23" s="16">
        <v>22500</v>
      </c>
      <c r="P23" s="16">
        <v>0</v>
      </c>
      <c r="Q23" s="16">
        <v>0</v>
      </c>
      <c r="R23" s="16">
        <v>22500</v>
      </c>
      <c r="S23" s="16">
        <v>0</v>
      </c>
      <c r="T23" s="16">
        <v>22500</v>
      </c>
      <c r="U23" s="24">
        <f t="shared" si="1"/>
        <v>90000</v>
      </c>
    </row>
    <row r="24" spans="1:21" ht="12.75">
      <c r="A24" s="5"/>
      <c r="B24" s="3"/>
      <c r="C24" s="113"/>
      <c r="D24" s="114"/>
      <c r="E24" s="114"/>
      <c r="F24" s="113"/>
      <c r="G24" s="7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24"/>
    </row>
    <row r="25" spans="1:21" ht="12.75">
      <c r="A25" s="5" t="s">
        <v>42</v>
      </c>
      <c r="B25" s="3" t="s">
        <v>52</v>
      </c>
      <c r="C25" s="144" t="s">
        <v>11</v>
      </c>
      <c r="D25" s="145">
        <v>9110060190</v>
      </c>
      <c r="E25" s="145">
        <v>244</v>
      </c>
      <c r="F25" s="144">
        <v>340</v>
      </c>
      <c r="G25" s="7"/>
      <c r="H25" s="17">
        <v>7600</v>
      </c>
      <c r="I25" s="16">
        <v>7600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24">
        <f>I25+J25+K25+L25+M25+N25+O25+P25+Q25+R25+S25+T25</f>
        <v>7600</v>
      </c>
    </row>
    <row r="26" spans="1:21" ht="12.75">
      <c r="A26" s="5"/>
      <c r="B26" s="29" t="s">
        <v>53</v>
      </c>
      <c r="C26" s="149" t="s">
        <v>11</v>
      </c>
      <c r="D26" s="150"/>
      <c r="E26" s="150"/>
      <c r="F26" s="151"/>
      <c r="G26" s="7"/>
      <c r="H26" s="20">
        <f aca="true" t="shared" si="5" ref="H26:T26">H10+H25</f>
        <v>6742000</v>
      </c>
      <c r="I26" s="20">
        <f t="shared" si="5"/>
        <v>255700</v>
      </c>
      <c r="J26" s="20">
        <f t="shared" si="5"/>
        <v>351100</v>
      </c>
      <c r="K26" s="20">
        <f t="shared" si="5"/>
        <v>317860</v>
      </c>
      <c r="L26" s="20">
        <f t="shared" si="5"/>
        <v>440700</v>
      </c>
      <c r="M26" s="20">
        <f t="shared" si="5"/>
        <v>448200</v>
      </c>
      <c r="N26" s="20">
        <f t="shared" si="5"/>
        <v>419100</v>
      </c>
      <c r="O26" s="20">
        <f t="shared" si="5"/>
        <v>443600</v>
      </c>
      <c r="P26" s="20">
        <f t="shared" si="5"/>
        <v>649100</v>
      </c>
      <c r="Q26" s="20">
        <f t="shared" si="5"/>
        <v>418200</v>
      </c>
      <c r="R26" s="20">
        <f t="shared" si="5"/>
        <v>831200</v>
      </c>
      <c r="S26" s="20">
        <f t="shared" si="5"/>
        <v>810450</v>
      </c>
      <c r="T26" s="20">
        <f t="shared" si="5"/>
        <v>1356790</v>
      </c>
      <c r="U26" s="23">
        <f>I26+J26+K26+L26+M26+N26+O26+P26+Q26+R26+S26+T26</f>
        <v>6742000</v>
      </c>
    </row>
    <row r="27" spans="1:21" ht="12.75">
      <c r="A27" s="5"/>
      <c r="B27" s="31"/>
      <c r="C27" s="118"/>
      <c r="D27" s="114"/>
      <c r="E27" s="114"/>
      <c r="F27" s="113"/>
      <c r="G27" s="7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23"/>
    </row>
    <row r="28" spans="1:21" ht="76.5">
      <c r="A28" s="5" t="s">
        <v>42</v>
      </c>
      <c r="B28" s="33" t="s">
        <v>54</v>
      </c>
      <c r="C28" s="152" t="s">
        <v>55</v>
      </c>
      <c r="D28" s="153">
        <v>9210000190</v>
      </c>
      <c r="E28" s="153">
        <v>540</v>
      </c>
      <c r="F28" s="153">
        <v>251</v>
      </c>
      <c r="G28" s="7" t="s">
        <v>56</v>
      </c>
      <c r="H28" s="13">
        <v>150473</v>
      </c>
      <c r="I28" s="18">
        <v>0</v>
      </c>
      <c r="J28" s="18">
        <v>37600</v>
      </c>
      <c r="K28" s="18">
        <v>0</v>
      </c>
      <c r="L28" s="18">
        <v>0</v>
      </c>
      <c r="M28" s="18">
        <v>37600</v>
      </c>
      <c r="N28" s="18">
        <v>0</v>
      </c>
      <c r="O28" s="18">
        <v>0</v>
      </c>
      <c r="P28" s="18">
        <v>37600</v>
      </c>
      <c r="Q28" s="18">
        <v>0</v>
      </c>
      <c r="R28" s="18">
        <v>0</v>
      </c>
      <c r="S28" s="18">
        <v>37673</v>
      </c>
      <c r="T28" s="18">
        <v>0</v>
      </c>
      <c r="U28" s="24">
        <f>I28+J28+K28+L28+M28+N28+O28+P28+Q28+R28+S28+T28</f>
        <v>150473</v>
      </c>
    </row>
    <row r="29" spans="1:21" ht="12.75">
      <c r="A29" s="5"/>
      <c r="B29" s="29" t="s">
        <v>53</v>
      </c>
      <c r="C29" s="149" t="s">
        <v>55</v>
      </c>
      <c r="D29" s="150"/>
      <c r="E29" s="150"/>
      <c r="F29" s="151"/>
      <c r="G29" s="7"/>
      <c r="H29" s="20">
        <f aca="true" t="shared" si="6" ref="H29:T29">H28</f>
        <v>150473</v>
      </c>
      <c r="I29" s="19">
        <f t="shared" si="6"/>
        <v>0</v>
      </c>
      <c r="J29" s="19">
        <f t="shared" si="6"/>
        <v>37600</v>
      </c>
      <c r="K29" s="19">
        <f t="shared" si="6"/>
        <v>0</v>
      </c>
      <c r="L29" s="19">
        <f t="shared" si="6"/>
        <v>0</v>
      </c>
      <c r="M29" s="19">
        <f t="shared" si="6"/>
        <v>37600</v>
      </c>
      <c r="N29" s="19">
        <f t="shared" si="6"/>
        <v>0</v>
      </c>
      <c r="O29" s="19">
        <f t="shared" si="6"/>
        <v>0</v>
      </c>
      <c r="P29" s="19">
        <f t="shared" si="6"/>
        <v>37600</v>
      </c>
      <c r="Q29" s="19">
        <f t="shared" si="6"/>
        <v>0</v>
      </c>
      <c r="R29" s="19">
        <f t="shared" si="6"/>
        <v>0</v>
      </c>
      <c r="S29" s="19">
        <f t="shared" si="6"/>
        <v>37673</v>
      </c>
      <c r="T29" s="19">
        <f t="shared" si="6"/>
        <v>0</v>
      </c>
      <c r="U29" s="23">
        <f>I29+J29+K29+L29+M29+N29+O29+P29+Q29+R29+S29+T29</f>
        <v>150473</v>
      </c>
    </row>
    <row r="30" spans="1:21" ht="12.75">
      <c r="A30" s="5"/>
      <c r="B30" s="31"/>
      <c r="C30" s="149"/>
      <c r="D30" s="150"/>
      <c r="E30" s="150"/>
      <c r="F30" s="151"/>
      <c r="G30" s="7"/>
      <c r="H30" s="20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3"/>
    </row>
    <row r="31" spans="1:21" ht="25.5">
      <c r="A31" s="5" t="s">
        <v>42</v>
      </c>
      <c r="B31" s="155" t="s">
        <v>115</v>
      </c>
      <c r="C31" s="149" t="s">
        <v>116</v>
      </c>
      <c r="D31" s="150">
        <v>9510010710</v>
      </c>
      <c r="E31" s="150">
        <v>880</v>
      </c>
      <c r="F31" s="151">
        <v>290</v>
      </c>
      <c r="G31" s="7"/>
      <c r="H31" s="156">
        <v>1100000</v>
      </c>
      <c r="I31" s="157">
        <v>0</v>
      </c>
      <c r="J31" s="157">
        <v>0</v>
      </c>
      <c r="K31" s="157">
        <v>0</v>
      </c>
      <c r="L31" s="157">
        <v>0</v>
      </c>
      <c r="M31" s="157">
        <v>0</v>
      </c>
      <c r="N31" s="157">
        <v>0</v>
      </c>
      <c r="O31" s="157">
        <v>0</v>
      </c>
      <c r="P31" s="157">
        <v>0</v>
      </c>
      <c r="Q31" s="157">
        <v>0</v>
      </c>
      <c r="R31" s="157">
        <v>0</v>
      </c>
      <c r="S31" s="157">
        <v>0</v>
      </c>
      <c r="T31" s="157">
        <v>1100000</v>
      </c>
      <c r="U31" s="23">
        <f>I31+J31+K31+L31+M31+N31+O31+P31+Q31+R31+S31+T31</f>
        <v>1100000</v>
      </c>
    </row>
    <row r="32" spans="1:21" ht="12.75">
      <c r="A32" s="5"/>
      <c r="B32" s="29" t="s">
        <v>53</v>
      </c>
      <c r="C32" s="149" t="s">
        <v>116</v>
      </c>
      <c r="D32" s="150"/>
      <c r="E32" s="150"/>
      <c r="F32" s="151"/>
      <c r="G32" s="7"/>
      <c r="H32" s="20">
        <f>H31</f>
        <v>1100000</v>
      </c>
      <c r="I32" s="19">
        <f aca="true" t="shared" si="7" ref="I32:T32">I31</f>
        <v>0</v>
      </c>
      <c r="J32" s="19">
        <f t="shared" si="7"/>
        <v>0</v>
      </c>
      <c r="K32" s="19">
        <f t="shared" si="7"/>
        <v>0</v>
      </c>
      <c r="L32" s="19">
        <f t="shared" si="7"/>
        <v>0</v>
      </c>
      <c r="M32" s="19">
        <f t="shared" si="7"/>
        <v>0</v>
      </c>
      <c r="N32" s="19">
        <f t="shared" si="7"/>
        <v>0</v>
      </c>
      <c r="O32" s="19">
        <f t="shared" si="7"/>
        <v>0</v>
      </c>
      <c r="P32" s="19">
        <f t="shared" si="7"/>
        <v>0</v>
      </c>
      <c r="Q32" s="19">
        <f t="shared" si="7"/>
        <v>0</v>
      </c>
      <c r="R32" s="19">
        <f t="shared" si="7"/>
        <v>0</v>
      </c>
      <c r="S32" s="19">
        <f t="shared" si="7"/>
        <v>0</v>
      </c>
      <c r="T32" s="19">
        <f t="shared" si="7"/>
        <v>1100000</v>
      </c>
      <c r="U32" s="23">
        <f>I32+J32+K32+L32+M32+N32+O32+P32+Q32+R32+S32+T32</f>
        <v>1100000</v>
      </c>
    </row>
    <row r="33" spans="1:21" ht="12.75">
      <c r="A33" s="5"/>
      <c r="B33" s="31"/>
      <c r="C33" s="118"/>
      <c r="D33" s="114"/>
      <c r="E33" s="114"/>
      <c r="F33" s="113"/>
      <c r="G33" s="7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23"/>
    </row>
    <row r="34" spans="1:21" ht="12.75">
      <c r="A34" s="5" t="s">
        <v>42</v>
      </c>
      <c r="B34" s="32" t="s">
        <v>57</v>
      </c>
      <c r="C34" s="144" t="s">
        <v>58</v>
      </c>
      <c r="D34" s="145">
        <v>9310010490</v>
      </c>
      <c r="E34" s="145">
        <v>870</v>
      </c>
      <c r="F34" s="144">
        <v>290</v>
      </c>
      <c r="G34" s="7"/>
      <c r="H34" s="13">
        <v>150000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150000</v>
      </c>
      <c r="U34" s="24">
        <f>I34+J34+K34+L34+M34+N34+O34+P34+Q34+R34+S34+T34</f>
        <v>150000</v>
      </c>
    </row>
    <row r="35" spans="1:21" ht="12.75">
      <c r="A35" s="5"/>
      <c r="B35" s="29" t="s">
        <v>53</v>
      </c>
      <c r="C35" s="149" t="s">
        <v>19</v>
      </c>
      <c r="D35" s="154"/>
      <c r="E35" s="154"/>
      <c r="F35" s="149"/>
      <c r="G35" s="34"/>
      <c r="H35" s="20">
        <f aca="true" t="shared" si="8" ref="H35:T35">H34</f>
        <v>150000</v>
      </c>
      <c r="I35" s="19">
        <f t="shared" si="8"/>
        <v>0</v>
      </c>
      <c r="J35" s="19">
        <f t="shared" si="8"/>
        <v>0</v>
      </c>
      <c r="K35" s="19">
        <f t="shared" si="8"/>
        <v>0</v>
      </c>
      <c r="L35" s="19">
        <f t="shared" si="8"/>
        <v>0</v>
      </c>
      <c r="M35" s="19">
        <f t="shared" si="8"/>
        <v>0</v>
      </c>
      <c r="N35" s="19">
        <f t="shared" si="8"/>
        <v>0</v>
      </c>
      <c r="O35" s="19">
        <f t="shared" si="8"/>
        <v>0</v>
      </c>
      <c r="P35" s="19">
        <f t="shared" si="8"/>
        <v>0</v>
      </c>
      <c r="Q35" s="19">
        <f t="shared" si="8"/>
        <v>0</v>
      </c>
      <c r="R35" s="19">
        <f t="shared" si="8"/>
        <v>0</v>
      </c>
      <c r="S35" s="19">
        <f t="shared" si="8"/>
        <v>0</v>
      </c>
      <c r="T35" s="19">
        <f t="shared" si="8"/>
        <v>150000</v>
      </c>
      <c r="U35" s="23">
        <f>I35+J35+K35+L35+M35+N35+O35+P35+Q35+R35+S35+T35</f>
        <v>150000</v>
      </c>
    </row>
    <row r="36" spans="1:21" ht="12.75">
      <c r="A36" s="5"/>
      <c r="B36" s="31"/>
      <c r="C36" s="118"/>
      <c r="D36" s="121"/>
      <c r="E36" s="121"/>
      <c r="F36" s="118"/>
      <c r="G36" s="34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24"/>
    </row>
    <row r="37" spans="1:21" ht="89.25">
      <c r="A37" s="26" t="s">
        <v>42</v>
      </c>
      <c r="B37" s="35" t="s">
        <v>114</v>
      </c>
      <c r="C37" s="148" t="s">
        <v>8</v>
      </c>
      <c r="D37" s="161">
        <v>5400000000</v>
      </c>
      <c r="E37" s="117"/>
      <c r="F37" s="117"/>
      <c r="G37" s="36"/>
      <c r="H37" s="39">
        <f aca="true" t="shared" si="9" ref="H37:T37">H39+H46+H58</f>
        <v>9955300</v>
      </c>
      <c r="I37" s="39">
        <f t="shared" si="9"/>
        <v>505400</v>
      </c>
      <c r="J37" s="39">
        <f t="shared" si="9"/>
        <v>573700</v>
      </c>
      <c r="K37" s="39">
        <f t="shared" si="9"/>
        <v>689700</v>
      </c>
      <c r="L37" s="39">
        <f t="shared" si="9"/>
        <v>743750</v>
      </c>
      <c r="M37" s="39">
        <f t="shared" si="9"/>
        <v>688400</v>
      </c>
      <c r="N37" s="39">
        <f t="shared" si="9"/>
        <v>662700</v>
      </c>
      <c r="O37" s="39">
        <f t="shared" si="9"/>
        <v>746750</v>
      </c>
      <c r="P37" s="39">
        <f t="shared" si="9"/>
        <v>934900</v>
      </c>
      <c r="Q37" s="39">
        <f t="shared" si="9"/>
        <v>822700</v>
      </c>
      <c r="R37" s="39">
        <f t="shared" si="9"/>
        <v>1153035</v>
      </c>
      <c r="S37" s="39">
        <f t="shared" si="9"/>
        <v>1239615</v>
      </c>
      <c r="T37" s="39">
        <f t="shared" si="9"/>
        <v>1194650</v>
      </c>
      <c r="U37" s="24">
        <f>I37+J37+K37+L37+M37+N37+O37+P37+Q37+R37+S37+T37</f>
        <v>9955300</v>
      </c>
    </row>
    <row r="38" spans="1:21" ht="12.75">
      <c r="A38" s="42"/>
      <c r="B38" s="43"/>
      <c r="C38" s="122"/>
      <c r="D38" s="123"/>
      <c r="E38" s="123"/>
      <c r="F38" s="123"/>
      <c r="G38" s="45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24"/>
    </row>
    <row r="39" spans="1:21" ht="38.25">
      <c r="A39" s="26" t="s">
        <v>42</v>
      </c>
      <c r="B39" s="35" t="s">
        <v>59</v>
      </c>
      <c r="C39" s="159" t="s">
        <v>8</v>
      </c>
      <c r="D39" s="160">
        <v>5410000000</v>
      </c>
      <c r="E39" s="124"/>
      <c r="F39" s="124"/>
      <c r="G39" s="51"/>
      <c r="H39" s="52">
        <f aca="true" t="shared" si="10" ref="H39:T39">H40+H41+H42+H43+H44</f>
        <v>2529900</v>
      </c>
      <c r="I39" s="52">
        <f t="shared" si="10"/>
        <v>192500</v>
      </c>
      <c r="J39" s="52">
        <f t="shared" si="10"/>
        <v>172500</v>
      </c>
      <c r="K39" s="52">
        <f t="shared" si="10"/>
        <v>192500</v>
      </c>
      <c r="L39" s="52">
        <f t="shared" si="10"/>
        <v>228500</v>
      </c>
      <c r="M39" s="52">
        <f t="shared" si="10"/>
        <v>192500</v>
      </c>
      <c r="N39" s="52">
        <f t="shared" si="10"/>
        <v>192500</v>
      </c>
      <c r="O39" s="52">
        <f t="shared" si="10"/>
        <v>279000</v>
      </c>
      <c r="P39" s="52">
        <f t="shared" si="10"/>
        <v>222700</v>
      </c>
      <c r="Q39" s="52">
        <f t="shared" si="10"/>
        <v>222500</v>
      </c>
      <c r="R39" s="52">
        <f t="shared" si="10"/>
        <v>192500</v>
      </c>
      <c r="S39" s="52">
        <f t="shared" si="10"/>
        <v>203300</v>
      </c>
      <c r="T39" s="52">
        <f t="shared" si="10"/>
        <v>238900</v>
      </c>
      <c r="U39" s="24">
        <f aca="true" t="shared" si="11" ref="U39:U44">I39+J39+K39+L39+M39+N39+O39+P39+Q39+R39+S39+T39</f>
        <v>2529900</v>
      </c>
    </row>
    <row r="40" spans="1:21" ht="12.75">
      <c r="A40" s="5" t="s">
        <v>42</v>
      </c>
      <c r="B40" s="3" t="s">
        <v>7</v>
      </c>
      <c r="C40" s="144" t="s">
        <v>8</v>
      </c>
      <c r="D40" s="144">
        <v>5410100590</v>
      </c>
      <c r="E40" s="153">
        <v>111</v>
      </c>
      <c r="F40" s="144">
        <v>211</v>
      </c>
      <c r="G40" s="1"/>
      <c r="H40" s="15">
        <v>1794800</v>
      </c>
      <c r="I40" s="12">
        <v>149500</v>
      </c>
      <c r="J40" s="12">
        <v>149500</v>
      </c>
      <c r="K40" s="12">
        <v>149500</v>
      </c>
      <c r="L40" s="12">
        <v>149500</v>
      </c>
      <c r="M40" s="12">
        <v>149500</v>
      </c>
      <c r="N40" s="12">
        <v>149500</v>
      </c>
      <c r="O40" s="12">
        <v>149500</v>
      </c>
      <c r="P40" s="12">
        <v>149500</v>
      </c>
      <c r="Q40" s="12">
        <v>149500</v>
      </c>
      <c r="R40" s="12">
        <v>149500</v>
      </c>
      <c r="S40" s="12">
        <v>150300</v>
      </c>
      <c r="T40" s="12">
        <v>149500</v>
      </c>
      <c r="U40" s="24">
        <f t="shared" si="11"/>
        <v>1794800</v>
      </c>
    </row>
    <row r="41" spans="1:21" ht="12.75">
      <c r="A41" s="5" t="s">
        <v>42</v>
      </c>
      <c r="B41" s="3" t="s">
        <v>9</v>
      </c>
      <c r="C41" s="144" t="s">
        <v>8</v>
      </c>
      <c r="D41" s="144">
        <v>5410100590</v>
      </c>
      <c r="E41" s="153">
        <v>119</v>
      </c>
      <c r="F41" s="158">
        <v>213</v>
      </c>
      <c r="G41" s="1"/>
      <c r="H41" s="15">
        <v>542100</v>
      </c>
      <c r="I41" s="12">
        <v>43000</v>
      </c>
      <c r="J41" s="12">
        <v>23000</v>
      </c>
      <c r="K41" s="12">
        <v>43000</v>
      </c>
      <c r="L41" s="12">
        <v>33000</v>
      </c>
      <c r="M41" s="12">
        <v>43000</v>
      </c>
      <c r="N41" s="12">
        <v>43000</v>
      </c>
      <c r="O41" s="12">
        <v>43000</v>
      </c>
      <c r="P41" s="12">
        <v>73200</v>
      </c>
      <c r="Q41" s="12">
        <v>43000</v>
      </c>
      <c r="R41" s="12">
        <v>43000</v>
      </c>
      <c r="S41" s="12">
        <v>53000</v>
      </c>
      <c r="T41" s="12">
        <v>58900</v>
      </c>
      <c r="U41" s="24">
        <f t="shared" si="11"/>
        <v>542100</v>
      </c>
    </row>
    <row r="42" spans="1:21" ht="12.75">
      <c r="A42" s="5" t="s">
        <v>42</v>
      </c>
      <c r="B42" s="3" t="s">
        <v>15</v>
      </c>
      <c r="C42" s="144" t="s">
        <v>8</v>
      </c>
      <c r="D42" s="144">
        <v>5410100590</v>
      </c>
      <c r="E42" s="153">
        <v>244</v>
      </c>
      <c r="F42" s="144">
        <v>226</v>
      </c>
      <c r="G42" s="1"/>
      <c r="H42" s="15">
        <v>160000</v>
      </c>
      <c r="I42" s="12">
        <v>0</v>
      </c>
      <c r="J42" s="12">
        <v>0</v>
      </c>
      <c r="K42" s="12">
        <v>0</v>
      </c>
      <c r="L42" s="12">
        <v>30000</v>
      </c>
      <c r="M42" s="12">
        <v>0</v>
      </c>
      <c r="N42" s="12">
        <v>0</v>
      </c>
      <c r="O42" s="12">
        <v>70000</v>
      </c>
      <c r="P42" s="12">
        <v>0</v>
      </c>
      <c r="Q42" s="12">
        <v>30000</v>
      </c>
      <c r="R42" s="12">
        <v>0</v>
      </c>
      <c r="S42" s="12">
        <v>0</v>
      </c>
      <c r="T42" s="12">
        <v>30000</v>
      </c>
      <c r="U42" s="24">
        <f t="shared" si="11"/>
        <v>160000</v>
      </c>
    </row>
    <row r="43" spans="1:21" ht="12.75">
      <c r="A43" s="5" t="s">
        <v>42</v>
      </c>
      <c r="B43" s="3" t="s">
        <v>17</v>
      </c>
      <c r="C43" s="144" t="s">
        <v>8</v>
      </c>
      <c r="D43" s="144">
        <v>5410100590</v>
      </c>
      <c r="E43" s="153">
        <v>244</v>
      </c>
      <c r="F43" s="144">
        <v>340</v>
      </c>
      <c r="G43" s="1"/>
      <c r="H43" s="15">
        <v>32000</v>
      </c>
      <c r="I43" s="12">
        <v>0</v>
      </c>
      <c r="J43" s="12">
        <v>0</v>
      </c>
      <c r="K43" s="12">
        <v>0</v>
      </c>
      <c r="L43" s="12">
        <v>16000</v>
      </c>
      <c r="M43" s="12">
        <v>0</v>
      </c>
      <c r="N43" s="12">
        <v>0</v>
      </c>
      <c r="O43" s="12">
        <v>16000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4">
        <f t="shared" si="11"/>
        <v>32000</v>
      </c>
    </row>
    <row r="44" spans="1:21" ht="12.75">
      <c r="A44" s="5" t="s">
        <v>42</v>
      </c>
      <c r="B44" s="3" t="s">
        <v>16</v>
      </c>
      <c r="C44" s="144" t="s">
        <v>8</v>
      </c>
      <c r="D44" s="144">
        <v>5410100590</v>
      </c>
      <c r="E44" s="153">
        <v>853</v>
      </c>
      <c r="F44" s="144">
        <v>290</v>
      </c>
      <c r="G44" s="2" t="s">
        <v>60</v>
      </c>
      <c r="H44" s="15">
        <v>1000</v>
      </c>
      <c r="I44" s="12">
        <v>0</v>
      </c>
      <c r="J44" s="12">
        <v>0</v>
      </c>
      <c r="K44" s="12">
        <v>0</v>
      </c>
      <c r="L44" s="12">
        <v>0</v>
      </c>
      <c r="M44" s="12">
        <v>0</v>
      </c>
      <c r="N44" s="12">
        <v>0</v>
      </c>
      <c r="O44" s="12">
        <v>500</v>
      </c>
      <c r="P44" s="12">
        <v>0</v>
      </c>
      <c r="Q44" s="12">
        <v>0</v>
      </c>
      <c r="R44" s="12">
        <v>0</v>
      </c>
      <c r="S44" s="12">
        <v>0</v>
      </c>
      <c r="T44" s="12">
        <v>500</v>
      </c>
      <c r="U44" s="24">
        <f t="shared" si="11"/>
        <v>1000</v>
      </c>
    </row>
    <row r="45" spans="1:21" ht="12.75">
      <c r="A45" s="5"/>
      <c r="B45" s="3"/>
      <c r="C45" s="113"/>
      <c r="D45" s="113"/>
      <c r="E45" s="120"/>
      <c r="F45" s="113"/>
      <c r="G45" s="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24"/>
    </row>
    <row r="46" spans="1:21" ht="85.5" customHeight="1">
      <c r="A46" s="26" t="s">
        <v>42</v>
      </c>
      <c r="B46" s="35" t="s">
        <v>61</v>
      </c>
      <c r="C46" s="159" t="s">
        <v>8</v>
      </c>
      <c r="D46" s="160">
        <v>5420000000</v>
      </c>
      <c r="E46" s="160"/>
      <c r="F46" s="126"/>
      <c r="G46" s="51"/>
      <c r="H46" s="52">
        <f>H47+H48+H49+H50+H51+H52+H53+H54+H55+H56</f>
        <v>6283000</v>
      </c>
      <c r="I46" s="52">
        <f aca="true" t="shared" si="12" ref="I46:T46">I47+I48+I49+I50+I51+I52+I53+I54+I55+I56</f>
        <v>250600</v>
      </c>
      <c r="J46" s="52">
        <f t="shared" si="12"/>
        <v>308600</v>
      </c>
      <c r="K46" s="52">
        <f t="shared" si="12"/>
        <v>404600</v>
      </c>
      <c r="L46" s="52">
        <f t="shared" si="12"/>
        <v>422150</v>
      </c>
      <c r="M46" s="52">
        <f t="shared" si="12"/>
        <v>403300</v>
      </c>
      <c r="N46" s="52">
        <f t="shared" si="12"/>
        <v>377600</v>
      </c>
      <c r="O46" s="52">
        <f t="shared" si="12"/>
        <v>400150</v>
      </c>
      <c r="P46" s="52">
        <f t="shared" si="12"/>
        <v>619600</v>
      </c>
      <c r="Q46" s="52">
        <f t="shared" si="12"/>
        <v>507600</v>
      </c>
      <c r="R46" s="52">
        <f t="shared" si="12"/>
        <v>867935</v>
      </c>
      <c r="S46" s="52">
        <f t="shared" si="12"/>
        <v>897415</v>
      </c>
      <c r="T46" s="52">
        <f t="shared" si="12"/>
        <v>823450</v>
      </c>
      <c r="U46" s="24">
        <f>I46+J46+K46+L46+M46+N46+O46+P46+Q46+R46+S46+T46</f>
        <v>6283000</v>
      </c>
    </row>
    <row r="47" spans="1:21" ht="12.75">
      <c r="A47" s="5" t="s">
        <v>42</v>
      </c>
      <c r="B47" s="3" t="s">
        <v>7</v>
      </c>
      <c r="C47" s="144" t="s">
        <v>8</v>
      </c>
      <c r="D47" s="144">
        <v>5420100590</v>
      </c>
      <c r="E47" s="153">
        <v>111</v>
      </c>
      <c r="F47" s="144">
        <v>211</v>
      </c>
      <c r="G47" s="2"/>
      <c r="H47" s="15">
        <v>4330400</v>
      </c>
      <c r="I47" s="12">
        <f>100200+30600</f>
        <v>130800</v>
      </c>
      <c r="J47" s="12">
        <f>180200+30600</f>
        <v>210800</v>
      </c>
      <c r="K47" s="12">
        <f>230200+30600</f>
        <v>260800</v>
      </c>
      <c r="L47" s="12">
        <f>210200+30600</f>
        <v>240800</v>
      </c>
      <c r="M47" s="12">
        <f>230200+30600</f>
        <v>260800</v>
      </c>
      <c r="N47" s="12">
        <f>230200+30600</f>
        <v>260800</v>
      </c>
      <c r="O47" s="12">
        <f>230200+30600</f>
        <v>260800</v>
      </c>
      <c r="P47" s="12">
        <f>430200+30600</f>
        <v>460800</v>
      </c>
      <c r="Q47" s="12">
        <f>330200+30600</f>
        <v>360800</v>
      </c>
      <c r="R47" s="12">
        <f>630200+30600</f>
        <v>660800</v>
      </c>
      <c r="S47" s="12">
        <f>600200+30600</f>
        <v>630800</v>
      </c>
      <c r="T47" s="12">
        <f>560300+30600-700+1400</f>
        <v>591600</v>
      </c>
      <c r="U47" s="24">
        <f aca="true" t="shared" si="13" ref="U47:U56">I47+J47+K47+L47+M47+N47+O47+P47+Q47+R47+S47+T47</f>
        <v>4330400</v>
      </c>
    </row>
    <row r="48" spans="1:21" ht="12.75">
      <c r="A48" s="5" t="s">
        <v>42</v>
      </c>
      <c r="B48" s="3" t="s">
        <v>9</v>
      </c>
      <c r="C48" s="144" t="s">
        <v>8</v>
      </c>
      <c r="D48" s="144">
        <v>5420100590</v>
      </c>
      <c r="E48" s="153">
        <v>119</v>
      </c>
      <c r="F48" s="144">
        <v>213</v>
      </c>
      <c r="G48" s="2"/>
      <c r="H48" s="15">
        <v>1307800</v>
      </c>
      <c r="I48" s="12">
        <f>79700+9200</f>
        <v>88900</v>
      </c>
      <c r="J48" s="12">
        <f>69700+9200</f>
        <v>78900</v>
      </c>
      <c r="K48" s="12">
        <f>75100+9200</f>
        <v>84300</v>
      </c>
      <c r="L48" s="12">
        <f>99700+9200</f>
        <v>108900</v>
      </c>
      <c r="M48" s="12">
        <f>99700+9200</f>
        <v>108900</v>
      </c>
      <c r="N48" s="12">
        <f>69700+9200</f>
        <v>78900</v>
      </c>
      <c r="O48" s="12">
        <f>99700+9200</f>
        <v>108900</v>
      </c>
      <c r="P48" s="12">
        <f>99700+9200</f>
        <v>108900</v>
      </c>
      <c r="Q48" s="12">
        <f>99700+9200</f>
        <v>108900</v>
      </c>
      <c r="R48" s="12">
        <f>124200+9200</f>
        <v>133400</v>
      </c>
      <c r="S48" s="12">
        <f>129700+10000</f>
        <v>139700</v>
      </c>
      <c r="T48" s="12">
        <f>150000+9200</f>
        <v>159200</v>
      </c>
      <c r="U48" s="24">
        <f t="shared" si="13"/>
        <v>1307800</v>
      </c>
    </row>
    <row r="49" spans="1:21" ht="12.75">
      <c r="A49" s="5" t="s">
        <v>42</v>
      </c>
      <c r="B49" s="3" t="s">
        <v>15</v>
      </c>
      <c r="C49" s="144" t="s">
        <v>8</v>
      </c>
      <c r="D49" s="144">
        <v>5420100590</v>
      </c>
      <c r="E49" s="153">
        <v>244</v>
      </c>
      <c r="F49" s="144">
        <v>226</v>
      </c>
      <c r="G49" s="2"/>
      <c r="H49" s="15">
        <v>93000</v>
      </c>
      <c r="I49" s="12">
        <v>0</v>
      </c>
      <c r="J49" s="12">
        <v>0</v>
      </c>
      <c r="K49" s="12">
        <v>0</v>
      </c>
      <c r="L49" s="12">
        <v>15000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15000</v>
      </c>
      <c r="S49" s="12">
        <v>63000</v>
      </c>
      <c r="T49" s="12">
        <v>0</v>
      </c>
      <c r="U49" s="24">
        <f t="shared" si="13"/>
        <v>93000</v>
      </c>
    </row>
    <row r="50" spans="1:21" ht="12.75">
      <c r="A50" s="5" t="s">
        <v>42</v>
      </c>
      <c r="B50" s="3" t="s">
        <v>16</v>
      </c>
      <c r="C50" s="144" t="s">
        <v>8</v>
      </c>
      <c r="D50" s="144">
        <v>5420100590</v>
      </c>
      <c r="E50" s="153">
        <v>244</v>
      </c>
      <c r="F50" s="144">
        <v>290</v>
      </c>
      <c r="G50" s="2"/>
      <c r="H50" s="15">
        <v>60000</v>
      </c>
      <c r="I50" s="12">
        <v>3000</v>
      </c>
      <c r="J50" s="12">
        <v>4200</v>
      </c>
      <c r="K50" s="12">
        <v>0</v>
      </c>
      <c r="L50" s="12">
        <v>10700</v>
      </c>
      <c r="M50" s="12">
        <v>10700</v>
      </c>
      <c r="N50" s="12">
        <v>0</v>
      </c>
      <c r="O50" s="12">
        <v>0</v>
      </c>
      <c r="P50" s="12">
        <v>0</v>
      </c>
      <c r="Q50" s="12">
        <v>0</v>
      </c>
      <c r="R50" s="12">
        <v>10700</v>
      </c>
      <c r="S50" s="12">
        <v>10500</v>
      </c>
      <c r="T50" s="12">
        <v>10200</v>
      </c>
      <c r="U50" s="24">
        <f t="shared" si="13"/>
        <v>60000</v>
      </c>
    </row>
    <row r="51" spans="1:21" ht="12.75">
      <c r="A51" s="5" t="s">
        <v>42</v>
      </c>
      <c r="B51" s="3" t="s">
        <v>18</v>
      </c>
      <c r="C51" s="144" t="s">
        <v>8</v>
      </c>
      <c r="D51" s="144">
        <v>5420100590</v>
      </c>
      <c r="E51" s="153">
        <v>244</v>
      </c>
      <c r="F51" s="144">
        <v>310</v>
      </c>
      <c r="G51" s="2"/>
      <c r="H51" s="15">
        <v>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0</v>
      </c>
      <c r="R51" s="12">
        <v>0</v>
      </c>
      <c r="S51" s="12">
        <v>0</v>
      </c>
      <c r="T51" s="12">
        <v>0</v>
      </c>
      <c r="U51" s="24">
        <f t="shared" si="13"/>
        <v>0</v>
      </c>
    </row>
    <row r="52" spans="1:21" ht="12.75">
      <c r="A52" s="5" t="s">
        <v>42</v>
      </c>
      <c r="B52" s="3" t="s">
        <v>17</v>
      </c>
      <c r="C52" s="144" t="s">
        <v>8</v>
      </c>
      <c r="D52" s="144">
        <v>5420100590</v>
      </c>
      <c r="E52" s="153">
        <v>244</v>
      </c>
      <c r="F52" s="144">
        <v>340</v>
      </c>
      <c r="G52" s="2"/>
      <c r="H52" s="15">
        <v>90000</v>
      </c>
      <c r="I52" s="12">
        <v>10000</v>
      </c>
      <c r="J52" s="12">
        <v>1800</v>
      </c>
      <c r="K52" s="12">
        <v>11300</v>
      </c>
      <c r="L52" s="12">
        <v>10000</v>
      </c>
      <c r="M52" s="12">
        <v>0</v>
      </c>
      <c r="N52" s="12">
        <v>0</v>
      </c>
      <c r="O52" s="12">
        <v>0</v>
      </c>
      <c r="P52" s="12">
        <v>12000</v>
      </c>
      <c r="Q52" s="12">
        <v>0</v>
      </c>
      <c r="R52" s="12">
        <v>17585</v>
      </c>
      <c r="S52" s="12">
        <v>15515</v>
      </c>
      <c r="T52" s="12">
        <v>11800</v>
      </c>
      <c r="U52" s="24">
        <f t="shared" si="13"/>
        <v>90000</v>
      </c>
    </row>
    <row r="53" spans="1:21" ht="12.75">
      <c r="A53" s="5" t="s">
        <v>42</v>
      </c>
      <c r="B53" s="3" t="s">
        <v>17</v>
      </c>
      <c r="C53" s="144" t="s">
        <v>8</v>
      </c>
      <c r="D53" s="144">
        <v>5420100590</v>
      </c>
      <c r="E53" s="153">
        <v>244</v>
      </c>
      <c r="F53" s="144">
        <v>340</v>
      </c>
      <c r="G53" s="2" t="s">
        <v>46</v>
      </c>
      <c r="H53" s="15">
        <v>391600</v>
      </c>
      <c r="I53" s="12">
        <f>22700-4800</f>
        <v>17900</v>
      </c>
      <c r="J53" s="12">
        <f>17700-4800</f>
        <v>12900</v>
      </c>
      <c r="K53" s="12">
        <f>53000-4800</f>
        <v>48200</v>
      </c>
      <c r="L53" s="12">
        <f>39000-4800</f>
        <v>34200</v>
      </c>
      <c r="M53" s="12">
        <f>27700-4800</f>
        <v>22900</v>
      </c>
      <c r="N53" s="12">
        <f>42700-4800</f>
        <v>37900</v>
      </c>
      <c r="O53" s="12">
        <f>32700-4800</f>
        <v>27900</v>
      </c>
      <c r="P53" s="12">
        <f>42700-4800</f>
        <v>37900</v>
      </c>
      <c r="Q53" s="12">
        <f>42700-4800</f>
        <v>37900</v>
      </c>
      <c r="R53" s="12">
        <f>32700-4800</f>
        <v>27900</v>
      </c>
      <c r="S53" s="12">
        <f>42700-4800</f>
        <v>37900</v>
      </c>
      <c r="T53" s="12">
        <f>52900-4800</f>
        <v>48100</v>
      </c>
      <c r="U53" s="24">
        <f t="shared" si="13"/>
        <v>391600</v>
      </c>
    </row>
    <row r="54" spans="1:21" ht="12.75">
      <c r="A54" s="5" t="s">
        <v>42</v>
      </c>
      <c r="B54" s="3" t="s">
        <v>16</v>
      </c>
      <c r="C54" s="144" t="s">
        <v>8</v>
      </c>
      <c r="D54" s="144">
        <v>5420100590</v>
      </c>
      <c r="E54" s="153">
        <v>851</v>
      </c>
      <c r="F54" s="144">
        <v>290</v>
      </c>
      <c r="G54" s="2" t="s">
        <v>60</v>
      </c>
      <c r="H54" s="15">
        <v>4000</v>
      </c>
      <c r="I54" s="12">
        <v>0</v>
      </c>
      <c r="J54" s="12">
        <v>0</v>
      </c>
      <c r="K54" s="12">
        <v>0</v>
      </c>
      <c r="L54" s="12">
        <v>1000</v>
      </c>
      <c r="M54" s="12">
        <v>0</v>
      </c>
      <c r="N54" s="12">
        <v>0</v>
      </c>
      <c r="O54" s="12">
        <v>1000</v>
      </c>
      <c r="P54" s="12">
        <v>0</v>
      </c>
      <c r="Q54" s="12">
        <v>0</v>
      </c>
      <c r="R54" s="12">
        <v>1000</v>
      </c>
      <c r="S54" s="12">
        <v>0</v>
      </c>
      <c r="T54" s="12">
        <v>1000</v>
      </c>
      <c r="U54" s="24">
        <f t="shared" si="13"/>
        <v>4000</v>
      </c>
    </row>
    <row r="55" spans="1:21" ht="12.75">
      <c r="A55" s="5" t="s">
        <v>42</v>
      </c>
      <c r="B55" s="3" t="s">
        <v>16</v>
      </c>
      <c r="C55" s="144" t="s">
        <v>8</v>
      </c>
      <c r="D55" s="144">
        <v>5420100590</v>
      </c>
      <c r="E55" s="153">
        <v>852</v>
      </c>
      <c r="F55" s="144">
        <v>290</v>
      </c>
      <c r="G55" s="2" t="s">
        <v>60</v>
      </c>
      <c r="H55" s="15">
        <v>5000</v>
      </c>
      <c r="I55" s="12">
        <v>0</v>
      </c>
      <c r="J55" s="12">
        <v>0</v>
      </c>
      <c r="K55" s="12">
        <v>0</v>
      </c>
      <c r="L55" s="12">
        <v>1250</v>
      </c>
      <c r="M55" s="12">
        <v>0</v>
      </c>
      <c r="N55" s="12">
        <v>0</v>
      </c>
      <c r="O55" s="12">
        <v>1250</v>
      </c>
      <c r="P55" s="12">
        <v>0</v>
      </c>
      <c r="Q55" s="12">
        <v>0</v>
      </c>
      <c r="R55" s="12">
        <v>1250</v>
      </c>
      <c r="S55" s="12">
        <v>0</v>
      </c>
      <c r="T55" s="12">
        <v>1250</v>
      </c>
      <c r="U55" s="24">
        <f t="shared" si="13"/>
        <v>5000</v>
      </c>
    </row>
    <row r="56" spans="1:21" ht="12.75">
      <c r="A56" s="5" t="s">
        <v>42</v>
      </c>
      <c r="B56" s="3" t="s">
        <v>16</v>
      </c>
      <c r="C56" s="144" t="s">
        <v>8</v>
      </c>
      <c r="D56" s="144">
        <v>5420100590</v>
      </c>
      <c r="E56" s="153">
        <v>853</v>
      </c>
      <c r="F56" s="144">
        <v>290</v>
      </c>
      <c r="G56" s="2" t="s">
        <v>60</v>
      </c>
      <c r="H56" s="15">
        <v>1200</v>
      </c>
      <c r="I56" s="12">
        <v>0</v>
      </c>
      <c r="J56" s="12">
        <v>0</v>
      </c>
      <c r="K56" s="12">
        <v>0</v>
      </c>
      <c r="L56" s="12">
        <v>300</v>
      </c>
      <c r="M56" s="12">
        <v>0</v>
      </c>
      <c r="N56" s="12">
        <v>0</v>
      </c>
      <c r="O56" s="12">
        <v>300</v>
      </c>
      <c r="P56" s="12">
        <v>0</v>
      </c>
      <c r="Q56" s="12">
        <v>0</v>
      </c>
      <c r="R56" s="12">
        <v>300</v>
      </c>
      <c r="S56" s="12">
        <v>0</v>
      </c>
      <c r="T56" s="12">
        <v>300</v>
      </c>
      <c r="U56" s="24">
        <f t="shared" si="13"/>
        <v>1200</v>
      </c>
    </row>
    <row r="57" spans="1:21" ht="12.75">
      <c r="A57" s="5"/>
      <c r="B57" s="1"/>
      <c r="C57" s="113"/>
      <c r="D57" s="113"/>
      <c r="E57" s="120"/>
      <c r="F57" s="113"/>
      <c r="G57" s="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24"/>
    </row>
    <row r="58" spans="1:21" ht="51">
      <c r="A58" s="26" t="s">
        <v>42</v>
      </c>
      <c r="B58" s="35" t="s">
        <v>62</v>
      </c>
      <c r="C58" s="159" t="s">
        <v>8</v>
      </c>
      <c r="D58" s="160">
        <v>5430000000</v>
      </c>
      <c r="E58" s="124"/>
      <c r="F58" s="126"/>
      <c r="G58" s="51"/>
      <c r="H58" s="52">
        <f aca="true" t="shared" si="14" ref="H58:T58">H59+H60+H61+H62+H63</f>
        <v>1142400</v>
      </c>
      <c r="I58" s="52">
        <f t="shared" si="14"/>
        <v>62300</v>
      </c>
      <c r="J58" s="52">
        <f t="shared" si="14"/>
        <v>92600</v>
      </c>
      <c r="K58" s="52">
        <f t="shared" si="14"/>
        <v>92600</v>
      </c>
      <c r="L58" s="52">
        <f t="shared" si="14"/>
        <v>93100</v>
      </c>
      <c r="M58" s="52">
        <f t="shared" si="14"/>
        <v>92600</v>
      </c>
      <c r="N58" s="52">
        <f t="shared" si="14"/>
        <v>92600</v>
      </c>
      <c r="O58" s="52">
        <f t="shared" si="14"/>
        <v>67600</v>
      </c>
      <c r="P58" s="52">
        <f t="shared" si="14"/>
        <v>92600</v>
      </c>
      <c r="Q58" s="52">
        <f t="shared" si="14"/>
        <v>92600</v>
      </c>
      <c r="R58" s="52">
        <f t="shared" si="14"/>
        <v>92600</v>
      </c>
      <c r="S58" s="52">
        <f t="shared" si="14"/>
        <v>138900</v>
      </c>
      <c r="T58" s="52">
        <f t="shared" si="14"/>
        <v>132300</v>
      </c>
      <c r="U58" s="24">
        <f aca="true" t="shared" si="15" ref="U58:U63">I58+J58+K58+L58+M58+N58+O58+P58+Q58+R58+S58+T58</f>
        <v>1142400</v>
      </c>
    </row>
    <row r="59" spans="1:21" ht="12.75">
      <c r="A59" s="5" t="s">
        <v>42</v>
      </c>
      <c r="B59" s="3" t="s">
        <v>7</v>
      </c>
      <c r="C59" s="144" t="s">
        <v>8</v>
      </c>
      <c r="D59" s="144">
        <v>5430100590</v>
      </c>
      <c r="E59" s="153">
        <v>111</v>
      </c>
      <c r="F59" s="144">
        <v>211</v>
      </c>
      <c r="G59" s="2"/>
      <c r="H59" s="15">
        <v>854000</v>
      </c>
      <c r="I59" s="12">
        <f>47800+3300</f>
        <v>51100</v>
      </c>
      <c r="J59" s="12">
        <f>67800+3300</f>
        <v>71100</v>
      </c>
      <c r="K59" s="12">
        <f>67800+3300</f>
        <v>71100</v>
      </c>
      <c r="L59" s="12">
        <f>67800+3300</f>
        <v>71100</v>
      </c>
      <c r="M59" s="12">
        <f>67800+3300</f>
        <v>71100</v>
      </c>
      <c r="N59" s="12">
        <f>67800+3300</f>
        <v>71100</v>
      </c>
      <c r="O59" s="12">
        <f>47800+3300</f>
        <v>51100</v>
      </c>
      <c r="P59" s="12">
        <f>67800+3300</f>
        <v>71100</v>
      </c>
      <c r="Q59" s="12">
        <f>67800+3300</f>
        <v>71100</v>
      </c>
      <c r="R59" s="12">
        <f>67800+3300</f>
        <v>71100</v>
      </c>
      <c r="S59" s="12">
        <f>87800+4400</f>
        <v>92200</v>
      </c>
      <c r="T59" s="12">
        <f>87500+3300</f>
        <v>90800</v>
      </c>
      <c r="U59" s="24">
        <f t="shared" si="15"/>
        <v>854000</v>
      </c>
    </row>
    <row r="60" spans="1:21" ht="12.75">
      <c r="A60" s="5" t="s">
        <v>42</v>
      </c>
      <c r="B60" s="3" t="s">
        <v>9</v>
      </c>
      <c r="C60" s="144" t="s">
        <v>8</v>
      </c>
      <c r="D60" s="144">
        <v>5430100590</v>
      </c>
      <c r="E60" s="153">
        <v>119</v>
      </c>
      <c r="F60" s="144">
        <v>213</v>
      </c>
      <c r="G60" s="2"/>
      <c r="H60" s="15">
        <v>257900</v>
      </c>
      <c r="I60" s="12">
        <v>11200</v>
      </c>
      <c r="J60" s="12">
        <v>21500</v>
      </c>
      <c r="K60" s="12">
        <v>21500</v>
      </c>
      <c r="L60" s="12">
        <v>21500</v>
      </c>
      <c r="M60" s="12">
        <v>21500</v>
      </c>
      <c r="N60" s="12">
        <v>21500</v>
      </c>
      <c r="O60" s="12">
        <v>11500</v>
      </c>
      <c r="P60" s="12">
        <v>21500</v>
      </c>
      <c r="Q60" s="12">
        <v>21500</v>
      </c>
      <c r="R60" s="12">
        <v>21500</v>
      </c>
      <c r="S60" s="12">
        <v>31700</v>
      </c>
      <c r="T60" s="12">
        <v>31500</v>
      </c>
      <c r="U60" s="24">
        <f t="shared" si="15"/>
        <v>257900</v>
      </c>
    </row>
    <row r="61" spans="1:21" ht="12.75">
      <c r="A61" s="5" t="s">
        <v>42</v>
      </c>
      <c r="B61" s="3" t="s">
        <v>15</v>
      </c>
      <c r="C61" s="144" t="s">
        <v>8</v>
      </c>
      <c r="D61" s="144">
        <v>5430100590</v>
      </c>
      <c r="E61" s="153">
        <v>244</v>
      </c>
      <c r="F61" s="144">
        <v>226</v>
      </c>
      <c r="G61" s="2"/>
      <c r="H61" s="15">
        <v>20000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0</v>
      </c>
      <c r="P61" s="12">
        <v>0</v>
      </c>
      <c r="Q61" s="12">
        <v>0</v>
      </c>
      <c r="R61" s="12">
        <v>0</v>
      </c>
      <c r="S61" s="12">
        <v>10000</v>
      </c>
      <c r="T61" s="12">
        <v>10000</v>
      </c>
      <c r="U61" s="24">
        <f t="shared" si="15"/>
        <v>20000</v>
      </c>
    </row>
    <row r="62" spans="1:21" ht="12.75">
      <c r="A62" s="5" t="s">
        <v>42</v>
      </c>
      <c r="B62" s="3" t="s">
        <v>17</v>
      </c>
      <c r="C62" s="144" t="s">
        <v>8</v>
      </c>
      <c r="D62" s="144">
        <v>5430100590</v>
      </c>
      <c r="E62" s="153">
        <v>244</v>
      </c>
      <c r="F62" s="144">
        <v>340</v>
      </c>
      <c r="G62" s="2"/>
      <c r="H62" s="15">
        <v>10000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5000</v>
      </c>
      <c r="P62" s="12">
        <v>0</v>
      </c>
      <c r="Q62" s="12">
        <v>0</v>
      </c>
      <c r="R62" s="12">
        <v>0</v>
      </c>
      <c r="S62" s="12">
        <v>5000</v>
      </c>
      <c r="T62" s="12">
        <v>0</v>
      </c>
      <c r="U62" s="24">
        <f t="shared" si="15"/>
        <v>10000</v>
      </c>
    </row>
    <row r="63" spans="1:21" ht="12.75">
      <c r="A63" s="5" t="s">
        <v>42</v>
      </c>
      <c r="B63" s="3" t="s">
        <v>16</v>
      </c>
      <c r="C63" s="144" t="s">
        <v>8</v>
      </c>
      <c r="D63" s="144">
        <v>5430100590</v>
      </c>
      <c r="E63" s="153">
        <v>853</v>
      </c>
      <c r="F63" s="144">
        <v>290</v>
      </c>
      <c r="G63" s="2" t="s">
        <v>60</v>
      </c>
      <c r="H63" s="15">
        <v>500</v>
      </c>
      <c r="I63" s="12">
        <v>0</v>
      </c>
      <c r="J63" s="12">
        <v>0</v>
      </c>
      <c r="K63" s="12">
        <v>0</v>
      </c>
      <c r="L63" s="12">
        <v>500</v>
      </c>
      <c r="M63" s="12">
        <v>0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2">
        <v>0</v>
      </c>
      <c r="T63" s="12">
        <v>0</v>
      </c>
      <c r="U63" s="24">
        <f t="shared" si="15"/>
        <v>500</v>
      </c>
    </row>
    <row r="64" spans="1:21" ht="12.75">
      <c r="A64" s="5"/>
      <c r="B64" s="1"/>
      <c r="C64" s="113"/>
      <c r="D64" s="113"/>
      <c r="E64" s="120"/>
      <c r="F64" s="113"/>
      <c r="G64" s="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24"/>
    </row>
    <row r="65" spans="1:21" ht="89.25">
      <c r="A65" s="26" t="s">
        <v>42</v>
      </c>
      <c r="B65" s="35" t="s">
        <v>117</v>
      </c>
      <c r="C65" s="148" t="s">
        <v>8</v>
      </c>
      <c r="D65" s="161">
        <v>5500000000</v>
      </c>
      <c r="E65" s="124"/>
      <c r="F65" s="126"/>
      <c r="G65" s="41"/>
      <c r="H65" s="39">
        <f>H67+H83+H86+H90</f>
        <v>1372927</v>
      </c>
      <c r="I65" s="39">
        <f aca="true" t="shared" si="16" ref="I65:T65">I67+I83+I86+I90</f>
        <v>24800</v>
      </c>
      <c r="J65" s="39">
        <f t="shared" si="16"/>
        <v>57100</v>
      </c>
      <c r="K65" s="39">
        <f t="shared" si="16"/>
        <v>64100</v>
      </c>
      <c r="L65" s="39">
        <f t="shared" si="16"/>
        <v>186100</v>
      </c>
      <c r="M65" s="39">
        <f t="shared" si="16"/>
        <v>64100</v>
      </c>
      <c r="N65" s="39">
        <f t="shared" si="16"/>
        <v>59800</v>
      </c>
      <c r="O65" s="39">
        <f t="shared" si="16"/>
        <v>85100</v>
      </c>
      <c r="P65" s="39">
        <f t="shared" si="16"/>
        <v>44100</v>
      </c>
      <c r="Q65" s="39">
        <f t="shared" si="16"/>
        <v>49400</v>
      </c>
      <c r="R65" s="39">
        <f t="shared" si="16"/>
        <v>196400</v>
      </c>
      <c r="S65" s="39">
        <f t="shared" si="16"/>
        <v>175100</v>
      </c>
      <c r="T65" s="39">
        <f t="shared" si="16"/>
        <v>366827</v>
      </c>
      <c r="U65" s="24">
        <f>I65+J65+K65+L65+M65+N65+O65+P65+Q65+R65+S65+T65</f>
        <v>1372927</v>
      </c>
    </row>
    <row r="66" spans="1:21" ht="12.75">
      <c r="A66" s="5"/>
      <c r="B66" s="1"/>
      <c r="C66" s="113"/>
      <c r="D66" s="113"/>
      <c r="E66" s="120"/>
      <c r="F66" s="113"/>
      <c r="G66" s="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4"/>
    </row>
    <row r="67" spans="1:21" ht="86.25" customHeight="1">
      <c r="A67" s="26" t="s">
        <v>42</v>
      </c>
      <c r="B67" s="35" t="s">
        <v>118</v>
      </c>
      <c r="C67" s="159" t="s">
        <v>8</v>
      </c>
      <c r="D67" s="160">
        <v>5510000000</v>
      </c>
      <c r="E67" s="124"/>
      <c r="F67" s="126"/>
      <c r="G67" s="51"/>
      <c r="H67" s="52">
        <f>H68+H69+H70+H71+H72+H73+H77+H78+H79+H80</f>
        <v>918327</v>
      </c>
      <c r="I67" s="52">
        <f aca="true" t="shared" si="17" ref="I67:T67">I68+I69+I70+I71+I72+I73+I77+I78+I79+I80</f>
        <v>24800</v>
      </c>
      <c r="J67" s="52">
        <f t="shared" si="17"/>
        <v>28400</v>
      </c>
      <c r="K67" s="52">
        <f t="shared" si="17"/>
        <v>35400</v>
      </c>
      <c r="L67" s="52">
        <f t="shared" si="17"/>
        <v>157400</v>
      </c>
      <c r="M67" s="52">
        <f t="shared" si="17"/>
        <v>35400</v>
      </c>
      <c r="N67" s="52">
        <f t="shared" si="17"/>
        <v>31100</v>
      </c>
      <c r="O67" s="52">
        <f t="shared" si="17"/>
        <v>56400</v>
      </c>
      <c r="P67" s="52">
        <f t="shared" si="17"/>
        <v>15400</v>
      </c>
      <c r="Q67" s="52">
        <f t="shared" si="17"/>
        <v>20700</v>
      </c>
      <c r="R67" s="52">
        <f t="shared" si="17"/>
        <v>162700</v>
      </c>
      <c r="S67" s="52">
        <f t="shared" si="17"/>
        <v>139800</v>
      </c>
      <c r="T67" s="52">
        <f t="shared" si="17"/>
        <v>210827</v>
      </c>
      <c r="U67" s="24">
        <f aca="true" t="shared" si="18" ref="U67:U82">I67+J67+K67+L67+M67+N67+O67+P67+Q67+R67+S67+T67</f>
        <v>918327</v>
      </c>
    </row>
    <row r="68" spans="1:21" ht="41.25" customHeight="1" hidden="1">
      <c r="A68" s="5" t="s">
        <v>42</v>
      </c>
      <c r="B68" s="47" t="s">
        <v>16</v>
      </c>
      <c r="C68" s="119" t="s">
        <v>8</v>
      </c>
      <c r="D68" s="127">
        <v>5510110010</v>
      </c>
      <c r="E68" s="127">
        <v>244</v>
      </c>
      <c r="F68" s="127">
        <v>290</v>
      </c>
      <c r="G68" s="48"/>
      <c r="H68" s="15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24">
        <f t="shared" si="18"/>
        <v>0</v>
      </c>
    </row>
    <row r="69" spans="1:21" ht="24.75" customHeight="1">
      <c r="A69" s="5" t="s">
        <v>42</v>
      </c>
      <c r="B69" s="3" t="s">
        <v>12</v>
      </c>
      <c r="C69" s="152" t="s">
        <v>8</v>
      </c>
      <c r="D69" s="162">
        <v>5510110010</v>
      </c>
      <c r="E69" s="162">
        <v>244</v>
      </c>
      <c r="F69" s="162">
        <v>221</v>
      </c>
      <c r="G69" s="48" t="s">
        <v>100</v>
      </c>
      <c r="H69" s="15">
        <v>8000</v>
      </c>
      <c r="I69" s="12">
        <v>600</v>
      </c>
      <c r="J69" s="12">
        <v>600</v>
      </c>
      <c r="K69" s="12">
        <v>600</v>
      </c>
      <c r="L69" s="12">
        <v>600</v>
      </c>
      <c r="M69" s="12">
        <v>600</v>
      </c>
      <c r="N69" s="12">
        <v>600</v>
      </c>
      <c r="O69" s="12">
        <v>600</v>
      </c>
      <c r="P69" s="12">
        <v>600</v>
      </c>
      <c r="Q69" s="12">
        <v>600</v>
      </c>
      <c r="R69" s="12">
        <v>600</v>
      </c>
      <c r="S69" s="12">
        <v>1000</v>
      </c>
      <c r="T69" s="12">
        <v>1000</v>
      </c>
      <c r="U69" s="24">
        <f t="shared" si="18"/>
        <v>8000</v>
      </c>
    </row>
    <row r="70" spans="1:21" ht="24.75" customHeight="1">
      <c r="A70" s="5" t="s">
        <v>42</v>
      </c>
      <c r="B70" s="3" t="s">
        <v>13</v>
      </c>
      <c r="C70" s="152" t="s">
        <v>8</v>
      </c>
      <c r="D70" s="162">
        <v>5510110010</v>
      </c>
      <c r="E70" s="162">
        <v>244</v>
      </c>
      <c r="F70" s="162">
        <v>223</v>
      </c>
      <c r="G70" s="48" t="s">
        <v>101</v>
      </c>
      <c r="H70" s="15">
        <v>171700</v>
      </c>
      <c r="I70" s="12">
        <v>14300</v>
      </c>
      <c r="J70" s="12">
        <v>14300</v>
      </c>
      <c r="K70" s="12">
        <v>14300</v>
      </c>
      <c r="L70" s="12">
        <v>14300</v>
      </c>
      <c r="M70" s="12">
        <v>14300</v>
      </c>
      <c r="N70" s="12">
        <v>10000</v>
      </c>
      <c r="O70" s="12">
        <v>5000</v>
      </c>
      <c r="P70" s="12">
        <v>10000</v>
      </c>
      <c r="Q70" s="12">
        <v>14300</v>
      </c>
      <c r="R70" s="12">
        <v>18600</v>
      </c>
      <c r="S70" s="12">
        <v>18600</v>
      </c>
      <c r="T70" s="12">
        <v>23700</v>
      </c>
      <c r="U70" s="24">
        <f t="shared" si="18"/>
        <v>171700</v>
      </c>
    </row>
    <row r="71" spans="1:21" ht="18.75" customHeight="1">
      <c r="A71" s="5" t="s">
        <v>42</v>
      </c>
      <c r="B71" s="3" t="s">
        <v>13</v>
      </c>
      <c r="C71" s="152" t="s">
        <v>8</v>
      </c>
      <c r="D71" s="162">
        <v>5510110010</v>
      </c>
      <c r="E71" s="162">
        <v>244</v>
      </c>
      <c r="F71" s="162">
        <v>223</v>
      </c>
      <c r="G71" s="48" t="s">
        <v>43</v>
      </c>
      <c r="H71" s="15">
        <v>11500</v>
      </c>
      <c r="I71" s="12">
        <v>900</v>
      </c>
      <c r="J71" s="12">
        <v>900</v>
      </c>
      <c r="K71" s="12">
        <v>900</v>
      </c>
      <c r="L71" s="12">
        <v>900</v>
      </c>
      <c r="M71" s="12">
        <v>900</v>
      </c>
      <c r="N71" s="12">
        <v>900</v>
      </c>
      <c r="O71" s="12">
        <v>900</v>
      </c>
      <c r="P71" s="12">
        <v>900</v>
      </c>
      <c r="Q71" s="12">
        <v>900</v>
      </c>
      <c r="R71" s="12">
        <v>900</v>
      </c>
      <c r="S71" s="12">
        <v>900</v>
      </c>
      <c r="T71" s="12">
        <v>1600</v>
      </c>
      <c r="U71" s="24">
        <f t="shared" si="18"/>
        <v>11500</v>
      </c>
    </row>
    <row r="72" spans="1:21" ht="15.75" customHeight="1">
      <c r="A72" s="5" t="s">
        <v>42</v>
      </c>
      <c r="B72" s="3" t="s">
        <v>13</v>
      </c>
      <c r="C72" s="152" t="s">
        <v>8</v>
      </c>
      <c r="D72" s="162">
        <v>5510110010</v>
      </c>
      <c r="E72" s="162">
        <v>244</v>
      </c>
      <c r="F72" s="162">
        <v>223</v>
      </c>
      <c r="G72" s="48" t="s">
        <v>45</v>
      </c>
      <c r="H72" s="15">
        <v>187800</v>
      </c>
      <c r="I72" s="12">
        <v>7000</v>
      </c>
      <c r="J72" s="12">
        <v>8700</v>
      </c>
      <c r="K72" s="12">
        <v>15700</v>
      </c>
      <c r="L72" s="12">
        <v>15700</v>
      </c>
      <c r="M72" s="12">
        <v>15700</v>
      </c>
      <c r="N72" s="12">
        <v>15700</v>
      </c>
      <c r="O72" s="12">
        <v>0</v>
      </c>
      <c r="P72" s="12">
        <v>0</v>
      </c>
      <c r="Q72" s="12">
        <v>0</v>
      </c>
      <c r="R72" s="12">
        <v>15700</v>
      </c>
      <c r="S72" s="12">
        <v>38400</v>
      </c>
      <c r="T72" s="12">
        <v>55200</v>
      </c>
      <c r="U72" s="24">
        <f t="shared" si="18"/>
        <v>187800</v>
      </c>
    </row>
    <row r="73" spans="1:21" ht="17.25" customHeight="1">
      <c r="A73" s="5" t="s">
        <v>42</v>
      </c>
      <c r="B73" s="3" t="s">
        <v>13</v>
      </c>
      <c r="C73" s="152" t="s">
        <v>8</v>
      </c>
      <c r="D73" s="162">
        <v>5510110010</v>
      </c>
      <c r="E73" s="162">
        <v>244</v>
      </c>
      <c r="F73" s="162">
        <v>223</v>
      </c>
      <c r="G73" s="48" t="s">
        <v>102</v>
      </c>
      <c r="H73" s="15">
        <v>50000</v>
      </c>
      <c r="I73" s="12">
        <v>2000</v>
      </c>
      <c r="J73" s="12">
        <v>3900</v>
      </c>
      <c r="K73" s="12">
        <v>3900</v>
      </c>
      <c r="L73" s="12">
        <v>3900</v>
      </c>
      <c r="M73" s="12">
        <v>3900</v>
      </c>
      <c r="N73" s="12">
        <v>3900</v>
      </c>
      <c r="O73" s="12">
        <v>3900</v>
      </c>
      <c r="P73" s="12">
        <v>3900</v>
      </c>
      <c r="Q73" s="12">
        <v>4900</v>
      </c>
      <c r="R73" s="12">
        <v>4900</v>
      </c>
      <c r="S73" s="12">
        <v>4900</v>
      </c>
      <c r="T73" s="12">
        <v>6000</v>
      </c>
      <c r="U73" s="24">
        <f t="shared" si="18"/>
        <v>50000</v>
      </c>
    </row>
    <row r="74" spans="1:21" ht="41.25" customHeight="1" hidden="1">
      <c r="A74" s="5"/>
      <c r="B74" s="47"/>
      <c r="C74" s="119"/>
      <c r="D74" s="127"/>
      <c r="E74" s="127"/>
      <c r="F74" s="127"/>
      <c r="G74" s="48"/>
      <c r="H74" s="15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24"/>
    </row>
    <row r="75" spans="1:21" ht="41.25" customHeight="1" hidden="1">
      <c r="A75" s="5"/>
      <c r="B75" s="47"/>
      <c r="C75" s="119"/>
      <c r="D75" s="127"/>
      <c r="E75" s="127"/>
      <c r="F75" s="127"/>
      <c r="G75" s="48"/>
      <c r="H75" s="15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24"/>
    </row>
    <row r="76" spans="1:21" ht="41.25" customHeight="1" hidden="1">
      <c r="A76" s="5"/>
      <c r="B76" s="47"/>
      <c r="C76" s="119"/>
      <c r="D76" s="127"/>
      <c r="E76" s="127"/>
      <c r="F76" s="127"/>
      <c r="G76" s="48"/>
      <c r="H76" s="15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24"/>
    </row>
    <row r="77" spans="1:21" ht="12.75">
      <c r="A77" s="5" t="s">
        <v>42</v>
      </c>
      <c r="B77" s="3" t="s">
        <v>17</v>
      </c>
      <c r="C77" s="144" t="s">
        <v>8</v>
      </c>
      <c r="D77" s="162">
        <v>5510110010</v>
      </c>
      <c r="E77" s="145">
        <v>244</v>
      </c>
      <c r="F77" s="144">
        <v>340</v>
      </c>
      <c r="G77" s="7"/>
      <c r="H77" s="15">
        <v>304300</v>
      </c>
      <c r="I77" s="12">
        <v>0</v>
      </c>
      <c r="J77" s="12">
        <v>0</v>
      </c>
      <c r="K77" s="12">
        <v>0</v>
      </c>
      <c r="L77" s="12">
        <v>76000</v>
      </c>
      <c r="M77" s="12">
        <v>0</v>
      </c>
      <c r="N77" s="12">
        <v>0</v>
      </c>
      <c r="O77" s="12">
        <v>0</v>
      </c>
      <c r="P77" s="12">
        <v>0</v>
      </c>
      <c r="Q77" s="12">
        <v>0</v>
      </c>
      <c r="R77" s="12">
        <v>76000</v>
      </c>
      <c r="S77" s="12">
        <v>76000</v>
      </c>
      <c r="T77" s="12">
        <v>76300</v>
      </c>
      <c r="U77" s="24">
        <f t="shared" si="18"/>
        <v>304300</v>
      </c>
    </row>
    <row r="78" spans="1:21" ht="12.75" hidden="1">
      <c r="A78" s="5" t="s">
        <v>42</v>
      </c>
      <c r="B78" s="3" t="s">
        <v>17</v>
      </c>
      <c r="C78" s="113" t="s">
        <v>8</v>
      </c>
      <c r="D78" s="127">
        <v>5510110010</v>
      </c>
      <c r="E78" s="114">
        <v>244</v>
      </c>
      <c r="F78" s="113">
        <v>340</v>
      </c>
      <c r="G78" s="7" t="s">
        <v>46</v>
      </c>
      <c r="H78" s="100">
        <v>0</v>
      </c>
      <c r="I78" s="78">
        <v>0</v>
      </c>
      <c r="J78" s="101">
        <v>0</v>
      </c>
      <c r="K78" s="101">
        <v>0</v>
      </c>
      <c r="L78" s="101">
        <v>0</v>
      </c>
      <c r="M78" s="101">
        <v>0</v>
      </c>
      <c r="N78" s="101">
        <v>0</v>
      </c>
      <c r="O78" s="101">
        <v>0</v>
      </c>
      <c r="P78" s="101">
        <v>0</v>
      </c>
      <c r="Q78" s="101">
        <v>0</v>
      </c>
      <c r="R78" s="101">
        <v>0</v>
      </c>
      <c r="S78" s="101">
        <v>0</v>
      </c>
      <c r="T78" s="101">
        <v>0</v>
      </c>
      <c r="U78" s="24">
        <f t="shared" si="18"/>
        <v>0</v>
      </c>
    </row>
    <row r="79" spans="1:21" ht="12.75">
      <c r="A79" s="5" t="s">
        <v>42</v>
      </c>
      <c r="B79" s="3" t="s">
        <v>15</v>
      </c>
      <c r="C79" s="144" t="s">
        <v>8</v>
      </c>
      <c r="D79" s="162">
        <v>5510110010</v>
      </c>
      <c r="E79" s="145">
        <v>244</v>
      </c>
      <c r="F79" s="144">
        <v>226</v>
      </c>
      <c r="G79" s="7"/>
      <c r="H79" s="100">
        <v>185027</v>
      </c>
      <c r="I79" s="101">
        <v>0</v>
      </c>
      <c r="J79" s="101">
        <v>0</v>
      </c>
      <c r="K79" s="101">
        <v>0</v>
      </c>
      <c r="L79" s="101">
        <v>46000</v>
      </c>
      <c r="M79" s="101">
        <v>0</v>
      </c>
      <c r="N79" s="101">
        <v>0</v>
      </c>
      <c r="O79" s="101">
        <v>46000</v>
      </c>
      <c r="P79" s="101">
        <v>0</v>
      </c>
      <c r="Q79" s="101">
        <v>0</v>
      </c>
      <c r="R79" s="101">
        <v>46000</v>
      </c>
      <c r="S79" s="101">
        <v>0</v>
      </c>
      <c r="T79" s="101">
        <v>47027</v>
      </c>
      <c r="U79" s="24">
        <f t="shared" si="18"/>
        <v>185027</v>
      </c>
    </row>
    <row r="80" spans="1:21" ht="12.75" hidden="1">
      <c r="A80" s="5" t="s">
        <v>42</v>
      </c>
      <c r="B80" s="47" t="s">
        <v>16</v>
      </c>
      <c r="C80" s="113" t="s">
        <v>8</v>
      </c>
      <c r="D80" s="127">
        <v>5510110010</v>
      </c>
      <c r="E80" s="114">
        <v>244</v>
      </c>
      <c r="F80" s="113">
        <v>290</v>
      </c>
      <c r="G80" s="7" t="s">
        <v>60</v>
      </c>
      <c r="H80" s="100">
        <v>0</v>
      </c>
      <c r="I80" s="78">
        <v>0</v>
      </c>
      <c r="J80" s="101">
        <v>0</v>
      </c>
      <c r="K80" s="101">
        <v>0</v>
      </c>
      <c r="L80" s="101">
        <v>0</v>
      </c>
      <c r="M80" s="101">
        <v>0</v>
      </c>
      <c r="N80" s="101">
        <v>0</v>
      </c>
      <c r="O80" s="101">
        <v>0</v>
      </c>
      <c r="P80" s="101">
        <v>0</v>
      </c>
      <c r="Q80" s="101">
        <v>0</v>
      </c>
      <c r="R80" s="101">
        <v>0</v>
      </c>
      <c r="S80" s="101">
        <v>0</v>
      </c>
      <c r="T80" s="101">
        <v>0</v>
      </c>
      <c r="U80" s="24">
        <f t="shared" si="18"/>
        <v>0</v>
      </c>
    </row>
    <row r="81" spans="1:21" ht="12.75">
      <c r="A81" s="5"/>
      <c r="B81" s="3"/>
      <c r="C81" s="113"/>
      <c r="D81" s="127"/>
      <c r="E81" s="114"/>
      <c r="F81" s="113"/>
      <c r="G81" s="7"/>
      <c r="H81" s="101"/>
      <c r="I81" s="78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24">
        <f t="shared" si="18"/>
        <v>0</v>
      </c>
    </row>
    <row r="82" spans="1:21" ht="12.75" hidden="1">
      <c r="A82" s="42"/>
      <c r="B82" s="43"/>
      <c r="C82" s="125"/>
      <c r="D82" s="125"/>
      <c r="E82" s="127"/>
      <c r="F82" s="125"/>
      <c r="G82" s="46"/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0</v>
      </c>
      <c r="S82" s="12">
        <v>0</v>
      </c>
      <c r="T82" s="12">
        <v>0</v>
      </c>
      <c r="U82" s="24">
        <f t="shared" si="18"/>
        <v>0</v>
      </c>
    </row>
    <row r="83" spans="1:21" ht="123" customHeight="1">
      <c r="A83" s="26" t="s">
        <v>42</v>
      </c>
      <c r="B83" s="35" t="s">
        <v>119</v>
      </c>
      <c r="C83" s="159" t="s">
        <v>8</v>
      </c>
      <c r="D83" s="160">
        <v>5520000000</v>
      </c>
      <c r="E83" s="160"/>
      <c r="F83" s="126"/>
      <c r="G83" s="51"/>
      <c r="H83" s="100">
        <f aca="true" t="shared" si="19" ref="H83:T83">H84</f>
        <v>344600</v>
      </c>
      <c r="I83" s="100">
        <f t="shared" si="19"/>
        <v>0</v>
      </c>
      <c r="J83" s="100">
        <f t="shared" si="19"/>
        <v>28700</v>
      </c>
      <c r="K83" s="100">
        <f t="shared" si="19"/>
        <v>28700</v>
      </c>
      <c r="L83" s="100">
        <f t="shared" si="19"/>
        <v>28700</v>
      </c>
      <c r="M83" s="100">
        <f t="shared" si="19"/>
        <v>28700</v>
      </c>
      <c r="N83" s="100">
        <f t="shared" si="19"/>
        <v>28700</v>
      </c>
      <c r="O83" s="100">
        <f t="shared" si="19"/>
        <v>28700</v>
      </c>
      <c r="P83" s="100">
        <f t="shared" si="19"/>
        <v>28700</v>
      </c>
      <c r="Q83" s="100">
        <f t="shared" si="19"/>
        <v>28700</v>
      </c>
      <c r="R83" s="100">
        <f t="shared" si="19"/>
        <v>28700</v>
      </c>
      <c r="S83" s="100">
        <f t="shared" si="19"/>
        <v>30300</v>
      </c>
      <c r="T83" s="100">
        <f t="shared" si="19"/>
        <v>56000</v>
      </c>
      <c r="U83" s="24">
        <f>I83+J83+K83+L83+M83+N83+O83+P83+Q83+R83+S83+T83</f>
        <v>344600</v>
      </c>
    </row>
    <row r="84" spans="1:21" ht="24.75" customHeight="1">
      <c r="A84" s="5" t="s">
        <v>42</v>
      </c>
      <c r="B84" s="47" t="s">
        <v>15</v>
      </c>
      <c r="C84" s="152" t="s">
        <v>8</v>
      </c>
      <c r="D84" s="162">
        <v>5520110020</v>
      </c>
      <c r="E84" s="162">
        <v>360</v>
      </c>
      <c r="F84" s="127"/>
      <c r="G84" s="46" t="s">
        <v>63</v>
      </c>
      <c r="H84" s="15">
        <v>344600</v>
      </c>
      <c r="I84" s="12">
        <v>0</v>
      </c>
      <c r="J84" s="12">
        <f>27300+1400</f>
        <v>28700</v>
      </c>
      <c r="K84" s="12">
        <f aca="true" t="shared" si="20" ref="K84:R84">27300+1400</f>
        <v>28700</v>
      </c>
      <c r="L84" s="12">
        <f t="shared" si="20"/>
        <v>28700</v>
      </c>
      <c r="M84" s="12">
        <f t="shared" si="20"/>
        <v>28700</v>
      </c>
      <c r="N84" s="12">
        <f t="shared" si="20"/>
        <v>28700</v>
      </c>
      <c r="O84" s="12">
        <f t="shared" si="20"/>
        <v>28700</v>
      </c>
      <c r="P84" s="12">
        <f t="shared" si="20"/>
        <v>28700</v>
      </c>
      <c r="Q84" s="12">
        <f t="shared" si="20"/>
        <v>28700</v>
      </c>
      <c r="R84" s="12">
        <f t="shared" si="20"/>
        <v>28700</v>
      </c>
      <c r="S84" s="12">
        <f>27300+1400+1600</f>
        <v>30300</v>
      </c>
      <c r="T84" s="12">
        <f>54600+1400</f>
        <v>56000</v>
      </c>
      <c r="U84" s="24">
        <f>I84+J84+K84+L84+M84+N84+O84+P84+Q84+R84+S84+T84</f>
        <v>344600</v>
      </c>
    </row>
    <row r="85" spans="1:20" ht="12.75">
      <c r="A85" s="5"/>
      <c r="B85" s="1"/>
      <c r="C85" s="144"/>
      <c r="D85" s="144"/>
      <c r="E85" s="153"/>
      <c r="F85" s="113"/>
      <c r="G85" s="2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</row>
    <row r="86" spans="1:21" ht="114.75">
      <c r="A86" s="26" t="s">
        <v>42</v>
      </c>
      <c r="B86" s="35" t="s">
        <v>120</v>
      </c>
      <c r="C86" s="159" t="s">
        <v>8</v>
      </c>
      <c r="D86" s="160">
        <v>5530000000</v>
      </c>
      <c r="E86" s="160"/>
      <c r="F86" s="163"/>
      <c r="G86" s="36"/>
      <c r="H86" s="100">
        <f aca="true" t="shared" si="21" ref="H86:T86">H88</f>
        <v>10000</v>
      </c>
      <c r="I86" s="52">
        <f t="shared" si="21"/>
        <v>0</v>
      </c>
      <c r="J86" s="52">
        <f t="shared" si="21"/>
        <v>0</v>
      </c>
      <c r="K86" s="52">
        <f t="shared" si="21"/>
        <v>0</v>
      </c>
      <c r="L86" s="52">
        <f t="shared" si="21"/>
        <v>0</v>
      </c>
      <c r="M86" s="52">
        <f t="shared" si="21"/>
        <v>0</v>
      </c>
      <c r="N86" s="52">
        <f t="shared" si="21"/>
        <v>0</v>
      </c>
      <c r="O86" s="52">
        <f t="shared" si="21"/>
        <v>0</v>
      </c>
      <c r="P86" s="52">
        <f t="shared" si="21"/>
        <v>0</v>
      </c>
      <c r="Q86" s="52">
        <f t="shared" si="21"/>
        <v>0</v>
      </c>
      <c r="R86" s="52">
        <f t="shared" si="21"/>
        <v>5000</v>
      </c>
      <c r="S86" s="52">
        <f t="shared" si="21"/>
        <v>5000</v>
      </c>
      <c r="T86" s="52">
        <f t="shared" si="21"/>
        <v>0</v>
      </c>
      <c r="U86" s="24">
        <f>I86+J86+K86+L86+M86+N86+O86+P86+Q86+R86+S86+T86</f>
        <v>10000</v>
      </c>
    </row>
    <row r="87" spans="1:20" ht="12.75">
      <c r="A87" s="26"/>
      <c r="B87" s="35"/>
      <c r="C87" s="159"/>
      <c r="D87" s="160"/>
      <c r="E87" s="160"/>
      <c r="F87" s="163"/>
      <c r="G87" s="36"/>
      <c r="H87" s="40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</row>
    <row r="88" spans="1:21" ht="12.75">
      <c r="A88" s="5" t="s">
        <v>42</v>
      </c>
      <c r="B88" s="47" t="s">
        <v>16</v>
      </c>
      <c r="C88" s="152" t="s">
        <v>8</v>
      </c>
      <c r="D88" s="162">
        <v>5530110030</v>
      </c>
      <c r="E88" s="153">
        <v>244</v>
      </c>
      <c r="F88" s="144">
        <v>290</v>
      </c>
      <c r="G88" s="7"/>
      <c r="H88" s="15">
        <v>10000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5000</v>
      </c>
      <c r="S88" s="12">
        <v>5000</v>
      </c>
      <c r="T88" s="12">
        <v>0</v>
      </c>
      <c r="U88" s="24">
        <f>I88+J88+K88+L88+M88+N88+O88+P88+Q88+R88+S88+T88</f>
        <v>10000</v>
      </c>
    </row>
    <row r="89" spans="1:21" ht="12.75">
      <c r="A89" s="5"/>
      <c r="B89" s="47"/>
      <c r="C89" s="119"/>
      <c r="D89" s="127"/>
      <c r="E89" s="120"/>
      <c r="F89" s="113"/>
      <c r="G89" s="2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24">
        <f>I89+J89+K89+L89+M89+N89+O89+P89+Q89+R89+S89+T89</f>
        <v>0</v>
      </c>
    </row>
    <row r="90" spans="1:21" ht="89.25">
      <c r="A90" s="26" t="s">
        <v>42</v>
      </c>
      <c r="B90" s="35" t="s">
        <v>121</v>
      </c>
      <c r="C90" s="159" t="s">
        <v>8</v>
      </c>
      <c r="D90" s="160">
        <v>5540000000</v>
      </c>
      <c r="E90" s="160"/>
      <c r="F90" s="163"/>
      <c r="G90" s="51"/>
      <c r="H90" s="15">
        <f>H91</f>
        <v>100000</v>
      </c>
      <c r="I90" s="15">
        <f aca="true" t="shared" si="22" ref="I90:T90">I91</f>
        <v>0</v>
      </c>
      <c r="J90" s="15">
        <f t="shared" si="22"/>
        <v>0</v>
      </c>
      <c r="K90" s="15">
        <f t="shared" si="22"/>
        <v>0</v>
      </c>
      <c r="L90" s="15">
        <f t="shared" si="22"/>
        <v>0</v>
      </c>
      <c r="M90" s="15">
        <f t="shared" si="22"/>
        <v>0</v>
      </c>
      <c r="N90" s="15">
        <f t="shared" si="22"/>
        <v>0</v>
      </c>
      <c r="O90" s="15">
        <f t="shared" si="22"/>
        <v>0</v>
      </c>
      <c r="P90" s="15">
        <f t="shared" si="22"/>
        <v>0</v>
      </c>
      <c r="Q90" s="15">
        <f t="shared" si="22"/>
        <v>0</v>
      </c>
      <c r="R90" s="15">
        <f t="shared" si="22"/>
        <v>0</v>
      </c>
      <c r="S90" s="15">
        <f t="shared" si="22"/>
        <v>0</v>
      </c>
      <c r="T90" s="15">
        <f t="shared" si="22"/>
        <v>100000</v>
      </c>
      <c r="U90" s="24">
        <f>I90+J90+K90+L90+M90+N90+O90+P90+Q90+R90+S90+T90</f>
        <v>100000</v>
      </c>
    </row>
    <row r="91" spans="1:21" ht="12.75">
      <c r="A91" s="5" t="s">
        <v>42</v>
      </c>
      <c r="B91" s="47" t="s">
        <v>15</v>
      </c>
      <c r="C91" s="152" t="s">
        <v>8</v>
      </c>
      <c r="D91" s="162">
        <v>5540110040</v>
      </c>
      <c r="E91" s="153">
        <v>244</v>
      </c>
      <c r="F91" s="144">
        <v>226</v>
      </c>
      <c r="G91" s="2"/>
      <c r="H91" s="15">
        <v>100000</v>
      </c>
      <c r="I91" s="102">
        <v>0</v>
      </c>
      <c r="J91" s="102">
        <v>0</v>
      </c>
      <c r="K91" s="102">
        <v>0</v>
      </c>
      <c r="L91" s="102">
        <v>0</v>
      </c>
      <c r="M91" s="102">
        <v>0</v>
      </c>
      <c r="N91" s="102">
        <v>0</v>
      </c>
      <c r="O91" s="102">
        <v>0</v>
      </c>
      <c r="P91" s="102">
        <v>0</v>
      </c>
      <c r="Q91" s="102">
        <v>0</v>
      </c>
      <c r="R91" s="102">
        <v>0</v>
      </c>
      <c r="S91" s="102">
        <v>0</v>
      </c>
      <c r="T91" s="102">
        <v>100000</v>
      </c>
      <c r="U91" s="24">
        <f>I91+J91+K91+L91+M91+N91+O91+P91+Q91+R91+S91+T91</f>
        <v>100000</v>
      </c>
    </row>
    <row r="92" spans="1:21" ht="12.75">
      <c r="A92" s="5"/>
      <c r="B92" s="47"/>
      <c r="C92" s="119"/>
      <c r="D92" s="127"/>
      <c r="E92" s="120"/>
      <c r="F92" s="113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4"/>
    </row>
    <row r="93" spans="1:21" ht="105" customHeight="1">
      <c r="A93" s="26" t="s">
        <v>42</v>
      </c>
      <c r="B93" s="35" t="s">
        <v>122</v>
      </c>
      <c r="C93" s="148" t="s">
        <v>8</v>
      </c>
      <c r="D93" s="161">
        <v>5600000000</v>
      </c>
      <c r="E93" s="124"/>
      <c r="F93" s="126"/>
      <c r="G93" s="41"/>
      <c r="H93" s="107">
        <f aca="true" t="shared" si="23" ref="H93:T93">H95+H101</f>
        <v>1118700</v>
      </c>
      <c r="I93" s="39">
        <f t="shared" si="23"/>
        <v>41400</v>
      </c>
      <c r="J93" s="39">
        <f t="shared" si="23"/>
        <v>25300</v>
      </c>
      <c r="K93" s="39">
        <f t="shared" si="23"/>
        <v>52700</v>
      </c>
      <c r="L93" s="39">
        <f t="shared" si="23"/>
        <v>84800</v>
      </c>
      <c r="M93" s="39">
        <f t="shared" si="23"/>
        <v>65500</v>
      </c>
      <c r="N93" s="39">
        <f t="shared" si="23"/>
        <v>27300</v>
      </c>
      <c r="O93" s="39">
        <f t="shared" si="23"/>
        <v>27300</v>
      </c>
      <c r="P93" s="39">
        <f t="shared" si="23"/>
        <v>165800</v>
      </c>
      <c r="Q93" s="39">
        <f t="shared" si="23"/>
        <v>30100</v>
      </c>
      <c r="R93" s="39">
        <f t="shared" si="23"/>
        <v>163300</v>
      </c>
      <c r="S93" s="39">
        <f t="shared" si="23"/>
        <v>242100</v>
      </c>
      <c r="T93" s="39">
        <f t="shared" si="23"/>
        <v>193100</v>
      </c>
      <c r="U93" s="24">
        <f>I93+J93+K93+L93+M93+N93+O93+P93+Q93+R93+S93+T93</f>
        <v>1118700</v>
      </c>
    </row>
    <row r="94" spans="1:21" ht="15" customHeight="1">
      <c r="A94" s="5"/>
      <c r="B94" s="47"/>
      <c r="C94" s="119"/>
      <c r="D94" s="127"/>
      <c r="E94" s="120"/>
      <c r="F94" s="113"/>
      <c r="G94" s="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24"/>
    </row>
    <row r="95" spans="1:21" ht="115.5" customHeight="1">
      <c r="A95" s="26" t="s">
        <v>42</v>
      </c>
      <c r="B95" s="35" t="s">
        <v>103</v>
      </c>
      <c r="C95" s="159" t="s">
        <v>8</v>
      </c>
      <c r="D95" s="160">
        <v>5610000000</v>
      </c>
      <c r="E95" s="124"/>
      <c r="F95" s="126"/>
      <c r="G95" s="51"/>
      <c r="H95" s="100">
        <f>H96+H97+H99+H98</f>
        <v>1018700</v>
      </c>
      <c r="I95" s="52">
        <f aca="true" t="shared" si="24" ref="I95:T95">I96+I97+I99+I98</f>
        <v>41400</v>
      </c>
      <c r="J95" s="52">
        <f t="shared" si="24"/>
        <v>25300</v>
      </c>
      <c r="K95" s="52">
        <f t="shared" si="24"/>
        <v>44200</v>
      </c>
      <c r="L95" s="52">
        <f t="shared" si="24"/>
        <v>76300</v>
      </c>
      <c r="M95" s="52">
        <f t="shared" si="24"/>
        <v>57000</v>
      </c>
      <c r="N95" s="52">
        <f t="shared" si="24"/>
        <v>27300</v>
      </c>
      <c r="O95" s="52">
        <f t="shared" si="24"/>
        <v>27300</v>
      </c>
      <c r="P95" s="52">
        <f t="shared" si="24"/>
        <v>165800</v>
      </c>
      <c r="Q95" s="52">
        <f t="shared" si="24"/>
        <v>30100</v>
      </c>
      <c r="R95" s="52">
        <f t="shared" si="24"/>
        <v>146300</v>
      </c>
      <c r="S95" s="52">
        <f t="shared" si="24"/>
        <v>216600</v>
      </c>
      <c r="T95" s="52">
        <f t="shared" si="24"/>
        <v>161100</v>
      </c>
      <c r="U95" s="24">
        <f aca="true" t="shared" si="25" ref="U95:U108">I95+J95+K95+L95+M95+N95+O95+P95+Q95+R95+S95+T95</f>
        <v>1018700</v>
      </c>
    </row>
    <row r="96" spans="1:21" ht="15" customHeight="1">
      <c r="A96" s="5" t="s">
        <v>42</v>
      </c>
      <c r="B96" s="47" t="s">
        <v>15</v>
      </c>
      <c r="C96" s="164" t="s">
        <v>8</v>
      </c>
      <c r="D96" s="162">
        <v>5610110060</v>
      </c>
      <c r="E96" s="162">
        <v>244</v>
      </c>
      <c r="F96" s="158">
        <v>226</v>
      </c>
      <c r="G96" s="45"/>
      <c r="H96" s="15">
        <v>571100</v>
      </c>
      <c r="I96" s="12">
        <v>27400</v>
      </c>
      <c r="J96" s="12">
        <v>6000</v>
      </c>
      <c r="K96" s="12">
        <v>7400</v>
      </c>
      <c r="L96" s="12">
        <v>40000</v>
      </c>
      <c r="M96" s="12">
        <v>20200</v>
      </c>
      <c r="N96" s="12">
        <v>0</v>
      </c>
      <c r="O96" s="12">
        <v>0</v>
      </c>
      <c r="P96" s="12">
        <v>138500</v>
      </c>
      <c r="Q96" s="12">
        <v>2800</v>
      </c>
      <c r="R96" s="12">
        <v>103000</v>
      </c>
      <c r="S96" s="12">
        <v>149800</v>
      </c>
      <c r="T96" s="12">
        <v>76000</v>
      </c>
      <c r="U96" s="24">
        <f t="shared" si="25"/>
        <v>571100</v>
      </c>
    </row>
    <row r="97" spans="1:21" ht="15" customHeight="1">
      <c r="A97" s="25" t="s">
        <v>42</v>
      </c>
      <c r="B97" s="3" t="s">
        <v>12</v>
      </c>
      <c r="C97" s="164" t="s">
        <v>8</v>
      </c>
      <c r="D97" s="162">
        <v>5610110060</v>
      </c>
      <c r="E97" s="162">
        <v>242</v>
      </c>
      <c r="F97" s="158">
        <v>221</v>
      </c>
      <c r="G97" s="46" t="s">
        <v>96</v>
      </c>
      <c r="H97" s="15">
        <v>168000</v>
      </c>
      <c r="I97" s="12">
        <v>4000</v>
      </c>
      <c r="J97" s="12">
        <v>7000</v>
      </c>
      <c r="K97" s="12">
        <v>14000</v>
      </c>
      <c r="L97" s="12">
        <v>14000</v>
      </c>
      <c r="M97" s="12">
        <v>14000</v>
      </c>
      <c r="N97" s="12">
        <v>14000</v>
      </c>
      <c r="O97" s="12">
        <v>14000</v>
      </c>
      <c r="P97" s="12">
        <v>14000</v>
      </c>
      <c r="Q97" s="12">
        <v>14000</v>
      </c>
      <c r="R97" s="12">
        <v>14000</v>
      </c>
      <c r="S97" s="12">
        <v>21000</v>
      </c>
      <c r="T97" s="12">
        <v>24000</v>
      </c>
      <c r="U97" s="24">
        <f t="shared" si="25"/>
        <v>168000</v>
      </c>
    </row>
    <row r="98" spans="1:21" ht="28.5" customHeight="1">
      <c r="A98" s="25" t="s">
        <v>42</v>
      </c>
      <c r="B98" s="3" t="s">
        <v>12</v>
      </c>
      <c r="C98" s="164" t="s">
        <v>8</v>
      </c>
      <c r="D98" s="162">
        <v>5610110060</v>
      </c>
      <c r="E98" s="162">
        <v>242</v>
      </c>
      <c r="F98" s="158">
        <v>221</v>
      </c>
      <c r="G98" s="103" t="s">
        <v>104</v>
      </c>
      <c r="H98" s="15">
        <v>159600</v>
      </c>
      <c r="I98" s="12">
        <v>10000</v>
      </c>
      <c r="J98" s="12">
        <v>7300</v>
      </c>
      <c r="K98" s="12">
        <v>13300</v>
      </c>
      <c r="L98" s="12">
        <v>13300</v>
      </c>
      <c r="M98" s="12">
        <v>13300</v>
      </c>
      <c r="N98" s="12">
        <v>13300</v>
      </c>
      <c r="O98" s="12">
        <v>13300</v>
      </c>
      <c r="P98" s="12">
        <v>13300</v>
      </c>
      <c r="Q98" s="12">
        <v>13300</v>
      </c>
      <c r="R98" s="12">
        <v>16300</v>
      </c>
      <c r="S98" s="12">
        <v>13300</v>
      </c>
      <c r="T98" s="12">
        <v>19600</v>
      </c>
      <c r="U98" s="24">
        <f t="shared" si="25"/>
        <v>159600</v>
      </c>
    </row>
    <row r="99" spans="1:21" ht="17.25" customHeight="1">
      <c r="A99" s="5" t="s">
        <v>42</v>
      </c>
      <c r="B99" s="3" t="s">
        <v>18</v>
      </c>
      <c r="C99" s="164" t="s">
        <v>8</v>
      </c>
      <c r="D99" s="162">
        <v>5610110060</v>
      </c>
      <c r="E99" s="162">
        <v>244</v>
      </c>
      <c r="F99" s="158">
        <v>310</v>
      </c>
      <c r="G99" s="46"/>
      <c r="H99" s="17">
        <v>120000</v>
      </c>
      <c r="I99" s="12">
        <v>0</v>
      </c>
      <c r="J99" s="12">
        <v>5000</v>
      </c>
      <c r="K99" s="12">
        <v>9500</v>
      </c>
      <c r="L99" s="12">
        <v>9000</v>
      </c>
      <c r="M99" s="12">
        <v>9500</v>
      </c>
      <c r="N99" s="12">
        <v>0</v>
      </c>
      <c r="O99" s="12">
        <v>0</v>
      </c>
      <c r="P99" s="12">
        <v>0</v>
      </c>
      <c r="Q99" s="12">
        <v>0</v>
      </c>
      <c r="R99" s="12">
        <v>13000</v>
      </c>
      <c r="S99" s="12">
        <v>32500</v>
      </c>
      <c r="T99" s="12">
        <v>41500</v>
      </c>
      <c r="U99" s="24">
        <f t="shared" si="25"/>
        <v>120000</v>
      </c>
    </row>
    <row r="100" spans="1:21" ht="15" customHeight="1">
      <c r="A100" s="42"/>
      <c r="B100" s="43"/>
      <c r="C100" s="122"/>
      <c r="D100" s="123"/>
      <c r="E100" s="127"/>
      <c r="F100" s="125"/>
      <c r="G100" s="46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24">
        <f t="shared" si="25"/>
        <v>0</v>
      </c>
    </row>
    <row r="101" spans="1:21" ht="86.25" customHeight="1">
      <c r="A101" s="26" t="s">
        <v>42</v>
      </c>
      <c r="B101" s="35" t="s">
        <v>123</v>
      </c>
      <c r="C101" s="159" t="s">
        <v>8</v>
      </c>
      <c r="D101" s="160">
        <v>5620000000</v>
      </c>
      <c r="E101" s="160"/>
      <c r="F101" s="163"/>
      <c r="G101" s="36"/>
      <c r="H101" s="100">
        <f aca="true" t="shared" si="26" ref="H101:T101">H102</f>
        <v>100000</v>
      </c>
      <c r="I101" s="52">
        <f t="shared" si="26"/>
        <v>0</v>
      </c>
      <c r="J101" s="52">
        <f t="shared" si="26"/>
        <v>0</v>
      </c>
      <c r="K101" s="52">
        <f t="shared" si="26"/>
        <v>8500</v>
      </c>
      <c r="L101" s="52">
        <f t="shared" si="26"/>
        <v>8500</v>
      </c>
      <c r="M101" s="52">
        <f t="shared" si="26"/>
        <v>8500</v>
      </c>
      <c r="N101" s="52">
        <f t="shared" si="26"/>
        <v>0</v>
      </c>
      <c r="O101" s="52">
        <f t="shared" si="26"/>
        <v>0</v>
      </c>
      <c r="P101" s="52">
        <f t="shared" si="26"/>
        <v>0</v>
      </c>
      <c r="Q101" s="52">
        <f t="shared" si="26"/>
        <v>0</v>
      </c>
      <c r="R101" s="52">
        <f t="shared" si="26"/>
        <v>17000</v>
      </c>
      <c r="S101" s="52">
        <f t="shared" si="26"/>
        <v>25500</v>
      </c>
      <c r="T101" s="52">
        <f t="shared" si="26"/>
        <v>32000</v>
      </c>
      <c r="U101" s="24">
        <f t="shared" si="25"/>
        <v>100000</v>
      </c>
    </row>
    <row r="102" spans="1:21" ht="25.5" customHeight="1">
      <c r="A102" s="104" t="s">
        <v>42</v>
      </c>
      <c r="B102" s="105" t="s">
        <v>15</v>
      </c>
      <c r="C102" s="165" t="s">
        <v>8</v>
      </c>
      <c r="D102" s="165">
        <v>5620110070</v>
      </c>
      <c r="E102" s="165">
        <v>244</v>
      </c>
      <c r="F102" s="165">
        <v>226</v>
      </c>
      <c r="G102" s="165"/>
      <c r="H102" s="15">
        <v>100000</v>
      </c>
      <c r="I102" s="12">
        <v>0</v>
      </c>
      <c r="J102" s="12">
        <v>0</v>
      </c>
      <c r="K102" s="12">
        <v>8500</v>
      </c>
      <c r="L102" s="12">
        <v>8500</v>
      </c>
      <c r="M102" s="12">
        <v>8500</v>
      </c>
      <c r="N102" s="12">
        <v>0</v>
      </c>
      <c r="O102" s="12">
        <v>0</v>
      </c>
      <c r="P102" s="12">
        <v>0</v>
      </c>
      <c r="Q102" s="12">
        <v>0</v>
      </c>
      <c r="R102" s="12">
        <v>17000</v>
      </c>
      <c r="S102" s="12">
        <v>25500</v>
      </c>
      <c r="T102" s="12">
        <v>32000</v>
      </c>
      <c r="U102" s="24">
        <f t="shared" si="25"/>
        <v>100000</v>
      </c>
    </row>
    <row r="103" spans="1:21" ht="15" customHeight="1">
      <c r="A103" s="42"/>
      <c r="B103" s="43"/>
      <c r="C103" s="122"/>
      <c r="D103" s="123"/>
      <c r="E103" s="127"/>
      <c r="F103" s="125"/>
      <c r="G103" s="46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24">
        <f t="shared" si="25"/>
        <v>0</v>
      </c>
    </row>
    <row r="104" spans="1:21" ht="98.25" customHeight="1">
      <c r="A104" s="26" t="s">
        <v>42</v>
      </c>
      <c r="B104" s="35" t="s">
        <v>124</v>
      </c>
      <c r="C104" s="148" t="s">
        <v>8</v>
      </c>
      <c r="D104" s="161">
        <v>5700000000</v>
      </c>
      <c r="E104" s="166"/>
      <c r="F104" s="167"/>
      <c r="G104" s="41"/>
      <c r="H104" s="107">
        <f aca="true" t="shared" si="27" ref="H104:T104">H105</f>
        <v>60000</v>
      </c>
      <c r="I104" s="39">
        <f t="shared" si="27"/>
        <v>0</v>
      </c>
      <c r="J104" s="39">
        <f t="shared" si="27"/>
        <v>0</v>
      </c>
      <c r="K104" s="39">
        <f t="shared" si="27"/>
        <v>0</v>
      </c>
      <c r="L104" s="39">
        <f t="shared" si="27"/>
        <v>0</v>
      </c>
      <c r="M104" s="39">
        <f t="shared" si="27"/>
        <v>16000</v>
      </c>
      <c r="N104" s="39">
        <f t="shared" si="27"/>
        <v>0</v>
      </c>
      <c r="O104" s="39">
        <f t="shared" si="27"/>
        <v>0</v>
      </c>
      <c r="P104" s="39">
        <f t="shared" si="27"/>
        <v>0</v>
      </c>
      <c r="Q104" s="39">
        <f t="shared" si="27"/>
        <v>0</v>
      </c>
      <c r="R104" s="39">
        <f t="shared" si="27"/>
        <v>0</v>
      </c>
      <c r="S104" s="39">
        <f t="shared" si="27"/>
        <v>10000</v>
      </c>
      <c r="T104" s="39">
        <f t="shared" si="27"/>
        <v>34000</v>
      </c>
      <c r="U104" s="24">
        <f t="shared" si="25"/>
        <v>60000</v>
      </c>
    </row>
    <row r="105" spans="1:21" ht="21" customHeight="1">
      <c r="A105" s="104" t="s">
        <v>42</v>
      </c>
      <c r="B105" s="105" t="s">
        <v>16</v>
      </c>
      <c r="C105" s="168" t="s">
        <v>8</v>
      </c>
      <c r="D105" s="168">
        <v>5710110930</v>
      </c>
      <c r="E105" s="168">
        <v>244</v>
      </c>
      <c r="F105" s="168">
        <v>290</v>
      </c>
      <c r="G105" s="106"/>
      <c r="H105" s="15">
        <v>60000</v>
      </c>
      <c r="I105" s="12">
        <v>0</v>
      </c>
      <c r="J105" s="12">
        <v>0</v>
      </c>
      <c r="K105" s="12">
        <v>0</v>
      </c>
      <c r="L105" s="12">
        <v>0</v>
      </c>
      <c r="M105" s="12">
        <v>16000</v>
      </c>
      <c r="N105" s="12">
        <v>0</v>
      </c>
      <c r="O105" s="12">
        <v>0</v>
      </c>
      <c r="P105" s="12">
        <v>0</v>
      </c>
      <c r="Q105" s="12">
        <v>0</v>
      </c>
      <c r="R105" s="12">
        <v>0</v>
      </c>
      <c r="S105" s="12">
        <v>10000</v>
      </c>
      <c r="T105" s="12">
        <v>34000</v>
      </c>
      <c r="U105" s="24">
        <f t="shared" si="25"/>
        <v>60000</v>
      </c>
    </row>
    <row r="106" spans="1:21" ht="15" customHeight="1">
      <c r="A106" s="42"/>
      <c r="B106" s="43"/>
      <c r="C106" s="122"/>
      <c r="D106" s="123"/>
      <c r="E106" s="127"/>
      <c r="F106" s="125"/>
      <c r="G106" s="46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4">
        <f t="shared" si="25"/>
        <v>0</v>
      </c>
    </row>
    <row r="107" spans="1:21" ht="96" customHeight="1">
      <c r="A107" s="26" t="s">
        <v>42</v>
      </c>
      <c r="B107" s="35" t="s">
        <v>125</v>
      </c>
      <c r="C107" s="148" t="s">
        <v>8</v>
      </c>
      <c r="D107" s="161">
        <v>8400000000</v>
      </c>
      <c r="E107" s="166"/>
      <c r="F107" s="167"/>
      <c r="G107" s="169"/>
      <c r="H107" s="107">
        <f aca="true" t="shared" si="28" ref="H107:T107">H108</f>
        <v>10000</v>
      </c>
      <c r="I107" s="39">
        <f t="shared" si="28"/>
        <v>0</v>
      </c>
      <c r="J107" s="39">
        <f t="shared" si="28"/>
        <v>0</v>
      </c>
      <c r="K107" s="39">
        <f t="shared" si="28"/>
        <v>0</v>
      </c>
      <c r="L107" s="39">
        <f t="shared" si="28"/>
        <v>0</v>
      </c>
      <c r="M107" s="39">
        <f t="shared" si="28"/>
        <v>0</v>
      </c>
      <c r="N107" s="39">
        <f t="shared" si="28"/>
        <v>0</v>
      </c>
      <c r="O107" s="39">
        <f t="shared" si="28"/>
        <v>0</v>
      </c>
      <c r="P107" s="39">
        <f t="shared" si="28"/>
        <v>0</v>
      </c>
      <c r="Q107" s="39">
        <f t="shared" si="28"/>
        <v>0</v>
      </c>
      <c r="R107" s="39">
        <f t="shared" si="28"/>
        <v>5000</v>
      </c>
      <c r="S107" s="39">
        <f t="shared" si="28"/>
        <v>5000</v>
      </c>
      <c r="T107" s="39">
        <f t="shared" si="28"/>
        <v>0</v>
      </c>
      <c r="U107" s="24">
        <f t="shared" si="25"/>
        <v>10000</v>
      </c>
    </row>
    <row r="108" spans="1:21" ht="15" customHeight="1">
      <c r="A108" s="5" t="s">
        <v>42</v>
      </c>
      <c r="B108" s="47" t="s">
        <v>16</v>
      </c>
      <c r="C108" s="170" t="s">
        <v>8</v>
      </c>
      <c r="D108" s="171">
        <v>8410110290</v>
      </c>
      <c r="E108" s="171">
        <v>244</v>
      </c>
      <c r="F108" s="172">
        <v>290</v>
      </c>
      <c r="G108" s="173"/>
      <c r="H108" s="15">
        <v>10000</v>
      </c>
      <c r="I108" s="12">
        <v>0</v>
      </c>
      <c r="J108" s="12">
        <v>0</v>
      </c>
      <c r="K108" s="12">
        <v>0</v>
      </c>
      <c r="L108" s="12">
        <v>0</v>
      </c>
      <c r="M108" s="12">
        <v>0</v>
      </c>
      <c r="N108" s="12">
        <v>0</v>
      </c>
      <c r="O108" s="12">
        <v>0</v>
      </c>
      <c r="P108" s="12">
        <v>0</v>
      </c>
      <c r="Q108" s="12">
        <v>0</v>
      </c>
      <c r="R108" s="12">
        <v>5000</v>
      </c>
      <c r="S108" s="12">
        <v>5000</v>
      </c>
      <c r="T108" s="12">
        <v>0</v>
      </c>
      <c r="U108" s="24">
        <f t="shared" si="25"/>
        <v>10000</v>
      </c>
    </row>
    <row r="109" spans="1:21" ht="12.75">
      <c r="A109" s="5"/>
      <c r="B109" s="47"/>
      <c r="C109" s="128"/>
      <c r="D109" s="127"/>
      <c r="E109" s="127"/>
      <c r="F109" s="130"/>
      <c r="G109" s="46"/>
      <c r="H109" s="15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24"/>
    </row>
    <row r="110" spans="1:21" ht="12.75">
      <c r="A110" s="5"/>
      <c r="B110" s="29" t="s">
        <v>53</v>
      </c>
      <c r="C110" s="149" t="s">
        <v>8</v>
      </c>
      <c r="D110" s="127"/>
      <c r="E110" s="127"/>
      <c r="F110" s="130"/>
      <c r="G110" s="46"/>
      <c r="H110" s="20">
        <f aca="true" t="shared" si="29" ref="H110:T110">H107+H104+H93+H65+H37</f>
        <v>12516927</v>
      </c>
      <c r="I110" s="19">
        <f t="shared" si="29"/>
        <v>571600</v>
      </c>
      <c r="J110" s="19">
        <f t="shared" si="29"/>
        <v>656100</v>
      </c>
      <c r="K110" s="19">
        <f t="shared" si="29"/>
        <v>806500</v>
      </c>
      <c r="L110" s="19">
        <f t="shared" si="29"/>
        <v>1014650</v>
      </c>
      <c r="M110" s="19">
        <f t="shared" si="29"/>
        <v>834000</v>
      </c>
      <c r="N110" s="19">
        <f t="shared" si="29"/>
        <v>749800</v>
      </c>
      <c r="O110" s="19">
        <f t="shared" si="29"/>
        <v>859150</v>
      </c>
      <c r="P110" s="19">
        <f t="shared" si="29"/>
        <v>1144800</v>
      </c>
      <c r="Q110" s="19">
        <f t="shared" si="29"/>
        <v>902200</v>
      </c>
      <c r="R110" s="19">
        <f t="shared" si="29"/>
        <v>1517735</v>
      </c>
      <c r="S110" s="19">
        <f t="shared" si="29"/>
        <v>1671815</v>
      </c>
      <c r="T110" s="19">
        <f t="shared" si="29"/>
        <v>1788577</v>
      </c>
      <c r="U110" s="24">
        <f>I110+J110+K110+L110+M110+N110+O110+P110+Q110+R110+S110+T110</f>
        <v>12516927</v>
      </c>
    </row>
    <row r="111" spans="1:21" ht="55.5" customHeight="1">
      <c r="A111" s="53"/>
      <c r="B111" s="54" t="s">
        <v>64</v>
      </c>
      <c r="C111" s="131"/>
      <c r="D111" s="131"/>
      <c r="E111" s="131"/>
      <c r="F111" s="131"/>
      <c r="G111" s="55"/>
      <c r="H111" s="56">
        <f>H110+H35+H29+H26+H9+H32</f>
        <v>21852900</v>
      </c>
      <c r="I111" s="56">
        <f aca="true" t="shared" si="30" ref="I111:T111">I110+I35+I29+I26+I9+I32</f>
        <v>926425</v>
      </c>
      <c r="J111" s="56">
        <f t="shared" si="30"/>
        <v>1143925</v>
      </c>
      <c r="K111" s="56">
        <f t="shared" si="30"/>
        <v>1223485</v>
      </c>
      <c r="L111" s="56">
        <f t="shared" si="30"/>
        <v>1555575</v>
      </c>
      <c r="M111" s="56">
        <f t="shared" si="30"/>
        <v>1418925</v>
      </c>
      <c r="N111" s="56">
        <f t="shared" si="30"/>
        <v>1268025</v>
      </c>
      <c r="O111" s="56">
        <f t="shared" si="30"/>
        <v>1402975</v>
      </c>
      <c r="P111" s="56">
        <f t="shared" si="30"/>
        <v>1930625</v>
      </c>
      <c r="Q111" s="56">
        <f t="shared" si="30"/>
        <v>1419525</v>
      </c>
      <c r="R111" s="56">
        <f t="shared" si="30"/>
        <v>2449160</v>
      </c>
      <c r="S111" s="56">
        <f t="shared" si="30"/>
        <v>2619763</v>
      </c>
      <c r="T111" s="56">
        <f t="shared" si="30"/>
        <v>4494492</v>
      </c>
      <c r="U111" s="24">
        <f>I111+J111+K111+L111+M111+N111+O111+P111+Q111+R111+S111+T111</f>
        <v>21852900</v>
      </c>
    </row>
    <row r="112" spans="1:7" ht="12.75">
      <c r="A112" s="42"/>
      <c r="B112" s="57"/>
      <c r="C112" s="132"/>
      <c r="D112" s="132"/>
      <c r="E112" s="132"/>
      <c r="F112" s="132"/>
      <c r="G112" s="57"/>
    </row>
    <row r="113" spans="1:21" ht="51.75" customHeight="1">
      <c r="A113" s="5" t="s">
        <v>42</v>
      </c>
      <c r="B113" s="59" t="s">
        <v>65</v>
      </c>
      <c r="C113" s="176" t="s">
        <v>20</v>
      </c>
      <c r="D113" s="60">
        <v>9800000000</v>
      </c>
      <c r="E113" s="123"/>
      <c r="F113" s="123"/>
      <c r="G113" s="60"/>
      <c r="H113" s="38">
        <f aca="true" t="shared" si="31" ref="H113:T113">H114+H115</f>
        <v>405400</v>
      </c>
      <c r="I113" s="38">
        <f t="shared" si="31"/>
        <v>33700</v>
      </c>
      <c r="J113" s="38">
        <f t="shared" si="31"/>
        <v>33700</v>
      </c>
      <c r="K113" s="38">
        <f t="shared" si="31"/>
        <v>33700</v>
      </c>
      <c r="L113" s="38">
        <f t="shared" si="31"/>
        <v>33700</v>
      </c>
      <c r="M113" s="38">
        <f t="shared" si="31"/>
        <v>33700</v>
      </c>
      <c r="N113" s="38">
        <f t="shared" si="31"/>
        <v>33700</v>
      </c>
      <c r="O113" s="38">
        <f t="shared" si="31"/>
        <v>33700</v>
      </c>
      <c r="P113" s="38">
        <f t="shared" si="31"/>
        <v>33700</v>
      </c>
      <c r="Q113" s="38">
        <f t="shared" si="31"/>
        <v>33700</v>
      </c>
      <c r="R113" s="38">
        <f t="shared" si="31"/>
        <v>33700</v>
      </c>
      <c r="S113" s="38">
        <f t="shared" si="31"/>
        <v>33700</v>
      </c>
      <c r="T113" s="38">
        <f t="shared" si="31"/>
        <v>34700</v>
      </c>
      <c r="U113" s="24">
        <f aca="true" t="shared" si="32" ref="U113:U119">I113+J113+K113+L113+M113+N113+O113+P113+Q113+R113+S113+T113</f>
        <v>405400</v>
      </c>
    </row>
    <row r="114" spans="1:21" ht="38.25">
      <c r="A114" s="5" t="s">
        <v>42</v>
      </c>
      <c r="B114" s="61" t="s">
        <v>66</v>
      </c>
      <c r="C114" s="174" t="s">
        <v>20</v>
      </c>
      <c r="D114" s="174">
        <v>9800051180</v>
      </c>
      <c r="E114" s="175">
        <v>121</v>
      </c>
      <c r="F114" s="174">
        <v>211</v>
      </c>
      <c r="G114" s="63" t="s">
        <v>67</v>
      </c>
      <c r="H114" s="13">
        <v>311400</v>
      </c>
      <c r="I114" s="18">
        <v>25900</v>
      </c>
      <c r="J114" s="18">
        <v>25900</v>
      </c>
      <c r="K114" s="18">
        <v>25900</v>
      </c>
      <c r="L114" s="18">
        <v>25900</v>
      </c>
      <c r="M114" s="18">
        <v>25900</v>
      </c>
      <c r="N114" s="18">
        <v>25900</v>
      </c>
      <c r="O114" s="18">
        <v>25900</v>
      </c>
      <c r="P114" s="18">
        <v>25900</v>
      </c>
      <c r="Q114" s="18">
        <v>25900</v>
      </c>
      <c r="R114" s="18">
        <v>25900</v>
      </c>
      <c r="S114" s="18">
        <v>25900</v>
      </c>
      <c r="T114" s="18">
        <v>26500</v>
      </c>
      <c r="U114" s="24">
        <f t="shared" si="32"/>
        <v>311400</v>
      </c>
    </row>
    <row r="115" spans="1:21" ht="38.25">
      <c r="A115" s="5" t="s">
        <v>42</v>
      </c>
      <c r="B115" s="61" t="s">
        <v>66</v>
      </c>
      <c r="C115" s="174" t="s">
        <v>20</v>
      </c>
      <c r="D115" s="174">
        <v>9800051180</v>
      </c>
      <c r="E115" s="175">
        <v>129</v>
      </c>
      <c r="F115" s="174">
        <v>211</v>
      </c>
      <c r="G115" s="64" t="s">
        <v>68</v>
      </c>
      <c r="H115" s="13">
        <v>94000</v>
      </c>
      <c r="I115" s="18">
        <v>7800</v>
      </c>
      <c r="J115" s="18">
        <v>7800</v>
      </c>
      <c r="K115" s="18">
        <v>7800</v>
      </c>
      <c r="L115" s="18">
        <v>7800</v>
      </c>
      <c r="M115" s="18">
        <v>7800</v>
      </c>
      <c r="N115" s="18">
        <v>7800</v>
      </c>
      <c r="O115" s="18">
        <v>7800</v>
      </c>
      <c r="P115" s="18">
        <v>7800</v>
      </c>
      <c r="Q115" s="18">
        <v>7800</v>
      </c>
      <c r="R115" s="18">
        <v>7800</v>
      </c>
      <c r="S115" s="18">
        <v>7800</v>
      </c>
      <c r="T115" s="18">
        <f>7500+700</f>
        <v>8200</v>
      </c>
      <c r="U115" s="24">
        <f t="shared" si="32"/>
        <v>94000</v>
      </c>
    </row>
    <row r="116" spans="1:21" ht="12.75">
      <c r="A116" s="42"/>
      <c r="B116" s="58"/>
      <c r="C116" s="133"/>
      <c r="D116" s="133"/>
      <c r="E116" s="133"/>
      <c r="F116" s="133"/>
      <c r="G116" s="62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24">
        <f t="shared" si="32"/>
        <v>0</v>
      </c>
    </row>
    <row r="117" spans="1:21" ht="12.75">
      <c r="A117" s="42"/>
      <c r="B117" s="29" t="s">
        <v>53</v>
      </c>
      <c r="C117" s="149" t="s">
        <v>20</v>
      </c>
      <c r="D117" s="133"/>
      <c r="E117" s="133"/>
      <c r="F117" s="133"/>
      <c r="G117" s="62"/>
      <c r="H117" s="20">
        <f aca="true" t="shared" si="33" ref="H117:T117">H113</f>
        <v>405400</v>
      </c>
      <c r="I117" s="20">
        <f t="shared" si="33"/>
        <v>33700</v>
      </c>
      <c r="J117" s="20">
        <f t="shared" si="33"/>
        <v>33700</v>
      </c>
      <c r="K117" s="20">
        <f t="shared" si="33"/>
        <v>33700</v>
      </c>
      <c r="L117" s="20">
        <f t="shared" si="33"/>
        <v>33700</v>
      </c>
      <c r="M117" s="20">
        <f t="shared" si="33"/>
        <v>33700</v>
      </c>
      <c r="N117" s="20">
        <f t="shared" si="33"/>
        <v>33700</v>
      </c>
      <c r="O117" s="20">
        <f t="shared" si="33"/>
        <v>33700</v>
      </c>
      <c r="P117" s="20">
        <f t="shared" si="33"/>
        <v>33700</v>
      </c>
      <c r="Q117" s="20">
        <f t="shared" si="33"/>
        <v>33700</v>
      </c>
      <c r="R117" s="20">
        <f t="shared" si="33"/>
        <v>33700</v>
      </c>
      <c r="S117" s="20">
        <f t="shared" si="33"/>
        <v>33700</v>
      </c>
      <c r="T117" s="20">
        <f t="shared" si="33"/>
        <v>34700</v>
      </c>
      <c r="U117" s="24">
        <f t="shared" si="32"/>
        <v>405400</v>
      </c>
    </row>
    <row r="118" spans="1:21" ht="12.75">
      <c r="A118" s="42"/>
      <c r="B118" s="58"/>
      <c r="C118" s="133"/>
      <c r="D118" s="133"/>
      <c r="E118" s="133"/>
      <c r="F118" s="133"/>
      <c r="G118" s="62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24">
        <f t="shared" si="32"/>
        <v>0</v>
      </c>
    </row>
    <row r="119" spans="1:21" ht="12.75">
      <c r="A119" s="53"/>
      <c r="B119" s="54" t="s">
        <v>69</v>
      </c>
      <c r="C119" s="135"/>
      <c r="D119" s="135"/>
      <c r="E119" s="135"/>
      <c r="F119" s="135"/>
      <c r="G119" s="65"/>
      <c r="H119" s="70">
        <f aca="true" t="shared" si="34" ref="H119:T119">H117</f>
        <v>405400</v>
      </c>
      <c r="I119" s="70">
        <f t="shared" si="34"/>
        <v>33700</v>
      </c>
      <c r="J119" s="70">
        <f t="shared" si="34"/>
        <v>33700</v>
      </c>
      <c r="K119" s="70">
        <f t="shared" si="34"/>
        <v>33700</v>
      </c>
      <c r="L119" s="70">
        <f t="shared" si="34"/>
        <v>33700</v>
      </c>
      <c r="M119" s="70">
        <f t="shared" si="34"/>
        <v>33700</v>
      </c>
      <c r="N119" s="70">
        <f t="shared" si="34"/>
        <v>33700</v>
      </c>
      <c r="O119" s="70">
        <f t="shared" si="34"/>
        <v>33700</v>
      </c>
      <c r="P119" s="70">
        <f t="shared" si="34"/>
        <v>33700</v>
      </c>
      <c r="Q119" s="70">
        <f t="shared" si="34"/>
        <v>33700</v>
      </c>
      <c r="R119" s="70">
        <f t="shared" si="34"/>
        <v>33700</v>
      </c>
      <c r="S119" s="70">
        <f t="shared" si="34"/>
        <v>33700</v>
      </c>
      <c r="T119" s="70">
        <f t="shared" si="34"/>
        <v>34700</v>
      </c>
      <c r="U119" s="24">
        <f t="shared" si="32"/>
        <v>405400</v>
      </c>
    </row>
    <row r="120" spans="1:21" ht="12.75">
      <c r="A120" s="42"/>
      <c r="B120" s="66"/>
      <c r="C120" s="133"/>
      <c r="D120" s="133"/>
      <c r="E120" s="133"/>
      <c r="F120" s="133"/>
      <c r="G120" s="62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24"/>
    </row>
    <row r="121" spans="1:21" ht="79.5" customHeight="1">
      <c r="A121" s="5" t="s">
        <v>42</v>
      </c>
      <c r="B121" s="35" t="s">
        <v>126</v>
      </c>
      <c r="C121" s="148"/>
      <c r="D121" s="161">
        <v>5900000000</v>
      </c>
      <c r="E121" s="117"/>
      <c r="F121" s="117"/>
      <c r="G121" s="37"/>
      <c r="H121" s="39">
        <f aca="true" t="shared" si="35" ref="H121:T121">H123+H128+H131</f>
        <v>329500</v>
      </c>
      <c r="I121" s="39">
        <f t="shared" si="35"/>
        <v>0</v>
      </c>
      <c r="J121" s="39">
        <f t="shared" si="35"/>
        <v>0</v>
      </c>
      <c r="K121" s="39">
        <f t="shared" si="35"/>
        <v>0</v>
      </c>
      <c r="L121" s="39">
        <f t="shared" si="35"/>
        <v>54250</v>
      </c>
      <c r="M121" s="39">
        <f t="shared" si="35"/>
        <v>0</v>
      </c>
      <c r="N121" s="39">
        <f t="shared" si="35"/>
        <v>0</v>
      </c>
      <c r="O121" s="39">
        <f t="shared" si="35"/>
        <v>54250</v>
      </c>
      <c r="P121" s="39">
        <f t="shared" si="35"/>
        <v>0</v>
      </c>
      <c r="Q121" s="39">
        <f t="shared" si="35"/>
        <v>0</v>
      </c>
      <c r="R121" s="39">
        <f t="shared" si="35"/>
        <v>95250</v>
      </c>
      <c r="S121" s="39">
        <f t="shared" si="35"/>
        <v>52500</v>
      </c>
      <c r="T121" s="39">
        <f t="shared" si="35"/>
        <v>73250</v>
      </c>
      <c r="U121" s="24">
        <f>I121+J121+K121+L121+M121+N121+O121+P121+Q121+R121+S121+T121</f>
        <v>329500</v>
      </c>
    </row>
    <row r="122" spans="1:21" ht="12.75">
      <c r="A122" s="42"/>
      <c r="B122" s="66"/>
      <c r="C122" s="129"/>
      <c r="D122" s="133"/>
      <c r="E122" s="133"/>
      <c r="F122" s="133"/>
      <c r="G122" s="62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24"/>
    </row>
    <row r="123" spans="1:21" ht="76.5">
      <c r="A123" s="5" t="s">
        <v>42</v>
      </c>
      <c r="B123" s="35" t="s">
        <v>127</v>
      </c>
      <c r="C123" s="148" t="s">
        <v>21</v>
      </c>
      <c r="D123" s="161">
        <v>5910000000</v>
      </c>
      <c r="E123" s="161"/>
      <c r="F123" s="161"/>
      <c r="G123" s="37"/>
      <c r="H123" s="39">
        <f aca="true" t="shared" si="36" ref="H123:T123">H124</f>
        <v>20000</v>
      </c>
      <c r="I123" s="39">
        <f t="shared" si="36"/>
        <v>0</v>
      </c>
      <c r="J123" s="39">
        <f t="shared" si="36"/>
        <v>0</v>
      </c>
      <c r="K123" s="39">
        <f t="shared" si="36"/>
        <v>0</v>
      </c>
      <c r="L123" s="39">
        <f t="shared" si="36"/>
        <v>0</v>
      </c>
      <c r="M123" s="39">
        <f t="shared" si="36"/>
        <v>0</v>
      </c>
      <c r="N123" s="39">
        <f t="shared" si="36"/>
        <v>0</v>
      </c>
      <c r="O123" s="39">
        <f t="shared" si="36"/>
        <v>0</v>
      </c>
      <c r="P123" s="39">
        <f t="shared" si="36"/>
        <v>0</v>
      </c>
      <c r="Q123" s="39">
        <f t="shared" si="36"/>
        <v>0</v>
      </c>
      <c r="R123" s="39">
        <f t="shared" si="36"/>
        <v>0</v>
      </c>
      <c r="S123" s="39">
        <f t="shared" si="36"/>
        <v>20000</v>
      </c>
      <c r="T123" s="39">
        <f t="shared" si="36"/>
        <v>0</v>
      </c>
      <c r="U123" s="24">
        <f>I123+J123+K123+L123+M123+N123+O123+P123+Q123+R123+S123+T123</f>
        <v>20000</v>
      </c>
    </row>
    <row r="124" spans="1:21" ht="12.75">
      <c r="A124" s="5" t="s">
        <v>42</v>
      </c>
      <c r="B124" s="47" t="s">
        <v>15</v>
      </c>
      <c r="C124" s="177" t="s">
        <v>21</v>
      </c>
      <c r="D124" s="177">
        <v>5910110080</v>
      </c>
      <c r="E124" s="178">
        <v>244</v>
      </c>
      <c r="F124" s="177">
        <v>226</v>
      </c>
      <c r="G124" s="62"/>
      <c r="H124" s="18">
        <v>20000</v>
      </c>
      <c r="I124" s="18">
        <v>0</v>
      </c>
      <c r="J124" s="18">
        <v>0</v>
      </c>
      <c r="K124" s="18">
        <v>0</v>
      </c>
      <c r="L124" s="18">
        <v>0</v>
      </c>
      <c r="M124" s="18">
        <v>0</v>
      </c>
      <c r="N124" s="18">
        <v>0</v>
      </c>
      <c r="O124" s="18">
        <v>0</v>
      </c>
      <c r="P124" s="18">
        <v>0</v>
      </c>
      <c r="Q124" s="18">
        <v>0</v>
      </c>
      <c r="R124" s="18">
        <v>0</v>
      </c>
      <c r="S124" s="18">
        <v>20000</v>
      </c>
      <c r="T124" s="18">
        <v>0</v>
      </c>
      <c r="U124" s="24">
        <f>I124+J124+K124+L124+M124+N124+O124+P124+Q124+R124+S124+T124</f>
        <v>20000</v>
      </c>
    </row>
    <row r="125" spans="1:21" ht="12.75">
      <c r="A125" s="42"/>
      <c r="B125" s="66"/>
      <c r="C125" s="133"/>
      <c r="D125" s="133"/>
      <c r="E125" s="133"/>
      <c r="F125" s="133"/>
      <c r="G125" s="62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24"/>
    </row>
    <row r="126" spans="1:21" ht="12.75">
      <c r="A126" s="42"/>
      <c r="B126" s="29" t="s">
        <v>53</v>
      </c>
      <c r="C126" s="149" t="s">
        <v>21</v>
      </c>
      <c r="D126" s="133"/>
      <c r="E126" s="133"/>
      <c r="F126" s="133"/>
      <c r="G126" s="62"/>
      <c r="H126" s="19">
        <f aca="true" t="shared" si="37" ref="H126:T126">H123</f>
        <v>20000</v>
      </c>
      <c r="I126" s="19">
        <f t="shared" si="37"/>
        <v>0</v>
      </c>
      <c r="J126" s="19">
        <f t="shared" si="37"/>
        <v>0</v>
      </c>
      <c r="K126" s="19">
        <f t="shared" si="37"/>
        <v>0</v>
      </c>
      <c r="L126" s="19">
        <f t="shared" si="37"/>
        <v>0</v>
      </c>
      <c r="M126" s="19">
        <f t="shared" si="37"/>
        <v>0</v>
      </c>
      <c r="N126" s="19">
        <f t="shared" si="37"/>
        <v>0</v>
      </c>
      <c r="O126" s="19">
        <f t="shared" si="37"/>
        <v>0</v>
      </c>
      <c r="P126" s="19">
        <f t="shared" si="37"/>
        <v>0</v>
      </c>
      <c r="Q126" s="19">
        <f t="shared" si="37"/>
        <v>0</v>
      </c>
      <c r="R126" s="19">
        <f t="shared" si="37"/>
        <v>0</v>
      </c>
      <c r="S126" s="19">
        <f t="shared" si="37"/>
        <v>20000</v>
      </c>
      <c r="T126" s="19">
        <f t="shared" si="37"/>
        <v>0</v>
      </c>
      <c r="U126" s="24">
        <f aca="true" t="shared" si="38" ref="U126:U139">I126+J126+K126+L126+M126+N126+O126+P126+Q126+R126+S126+T126</f>
        <v>20000</v>
      </c>
    </row>
    <row r="127" spans="1:21" ht="12.75">
      <c r="A127" s="42"/>
      <c r="B127" s="66"/>
      <c r="C127" s="133"/>
      <c r="D127" s="133"/>
      <c r="E127" s="133"/>
      <c r="F127" s="133"/>
      <c r="G127" s="62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24">
        <f t="shared" si="38"/>
        <v>0</v>
      </c>
    </row>
    <row r="128" spans="1:21" ht="81" customHeight="1">
      <c r="A128" s="5" t="s">
        <v>42</v>
      </c>
      <c r="B128" s="35" t="s">
        <v>128</v>
      </c>
      <c r="C128" s="148" t="s">
        <v>22</v>
      </c>
      <c r="D128" s="161">
        <v>5920000000</v>
      </c>
      <c r="E128" s="161"/>
      <c r="F128" s="161"/>
      <c r="G128" s="161"/>
      <c r="H128" s="39">
        <f aca="true" t="shared" si="39" ref="H128:T128">H129</f>
        <v>112500</v>
      </c>
      <c r="I128" s="39">
        <f t="shared" si="39"/>
        <v>0</v>
      </c>
      <c r="J128" s="39">
        <f t="shared" si="39"/>
        <v>0</v>
      </c>
      <c r="K128" s="39">
        <f t="shared" si="39"/>
        <v>0</v>
      </c>
      <c r="L128" s="39">
        <f t="shared" si="39"/>
        <v>5000</v>
      </c>
      <c r="M128" s="39">
        <f t="shared" si="39"/>
        <v>0</v>
      </c>
      <c r="N128" s="39">
        <f t="shared" si="39"/>
        <v>0</v>
      </c>
      <c r="O128" s="39">
        <f t="shared" si="39"/>
        <v>5000</v>
      </c>
      <c r="P128" s="39">
        <f t="shared" si="39"/>
        <v>0</v>
      </c>
      <c r="Q128" s="39">
        <f t="shared" si="39"/>
        <v>0</v>
      </c>
      <c r="R128" s="39">
        <f t="shared" si="39"/>
        <v>46000</v>
      </c>
      <c r="S128" s="39">
        <f t="shared" si="39"/>
        <v>32500</v>
      </c>
      <c r="T128" s="39">
        <f t="shared" si="39"/>
        <v>24000</v>
      </c>
      <c r="U128" s="24">
        <f t="shared" si="38"/>
        <v>112500</v>
      </c>
    </row>
    <row r="129" spans="1:21" ht="12.75">
      <c r="A129" s="5" t="s">
        <v>42</v>
      </c>
      <c r="B129" s="47" t="s">
        <v>15</v>
      </c>
      <c r="C129" s="168" t="s">
        <v>22</v>
      </c>
      <c r="D129" s="177">
        <v>5920110090</v>
      </c>
      <c r="E129" s="178">
        <v>244</v>
      </c>
      <c r="F129" s="177">
        <v>226</v>
      </c>
      <c r="G129" s="177"/>
      <c r="H129" s="18">
        <v>112500</v>
      </c>
      <c r="I129" s="18">
        <v>0</v>
      </c>
      <c r="J129" s="18">
        <v>0</v>
      </c>
      <c r="K129" s="18">
        <v>0</v>
      </c>
      <c r="L129" s="18">
        <v>5000</v>
      </c>
      <c r="M129" s="18">
        <v>0</v>
      </c>
      <c r="N129" s="18">
        <v>0</v>
      </c>
      <c r="O129" s="18">
        <v>5000</v>
      </c>
      <c r="P129" s="18">
        <v>0</v>
      </c>
      <c r="Q129" s="18">
        <v>0</v>
      </c>
      <c r="R129" s="18">
        <v>46000</v>
      </c>
      <c r="S129" s="18">
        <f>19500+13000</f>
        <v>32500</v>
      </c>
      <c r="T129" s="18">
        <v>24000</v>
      </c>
      <c r="U129" s="24">
        <f t="shared" si="38"/>
        <v>112500</v>
      </c>
    </row>
    <row r="130" spans="1:21" ht="12.75">
      <c r="A130" s="42"/>
      <c r="B130" s="66"/>
      <c r="C130" s="129"/>
      <c r="D130" s="133"/>
      <c r="E130" s="133"/>
      <c r="F130" s="133"/>
      <c r="G130" s="62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24">
        <f t="shared" si="38"/>
        <v>0</v>
      </c>
    </row>
    <row r="131" spans="1:21" ht="92.25" customHeight="1">
      <c r="A131" s="5" t="s">
        <v>42</v>
      </c>
      <c r="B131" s="35" t="s">
        <v>129</v>
      </c>
      <c r="C131" s="148" t="s">
        <v>22</v>
      </c>
      <c r="D131" s="161">
        <v>5930000000</v>
      </c>
      <c r="E131" s="161"/>
      <c r="F131" s="161"/>
      <c r="G131" s="38"/>
      <c r="H131" s="39">
        <f aca="true" t="shared" si="40" ref="H131:T131">H132</f>
        <v>197000</v>
      </c>
      <c r="I131" s="39">
        <f t="shared" si="40"/>
        <v>0</v>
      </c>
      <c r="J131" s="39">
        <f t="shared" si="40"/>
        <v>0</v>
      </c>
      <c r="K131" s="39">
        <f t="shared" si="40"/>
        <v>0</v>
      </c>
      <c r="L131" s="39">
        <f t="shared" si="40"/>
        <v>49250</v>
      </c>
      <c r="M131" s="39">
        <f t="shared" si="40"/>
        <v>0</v>
      </c>
      <c r="N131" s="39">
        <f t="shared" si="40"/>
        <v>0</v>
      </c>
      <c r="O131" s="39">
        <f t="shared" si="40"/>
        <v>49250</v>
      </c>
      <c r="P131" s="39">
        <f t="shared" si="40"/>
        <v>0</v>
      </c>
      <c r="Q131" s="39">
        <f t="shared" si="40"/>
        <v>0</v>
      </c>
      <c r="R131" s="39">
        <f t="shared" si="40"/>
        <v>49250</v>
      </c>
      <c r="S131" s="39">
        <f t="shared" si="40"/>
        <v>0</v>
      </c>
      <c r="T131" s="39">
        <f t="shared" si="40"/>
        <v>49250</v>
      </c>
      <c r="U131" s="24">
        <f t="shared" si="38"/>
        <v>197000</v>
      </c>
    </row>
    <row r="132" spans="1:21" ht="12.75">
      <c r="A132" s="5" t="s">
        <v>42</v>
      </c>
      <c r="B132" s="47" t="s">
        <v>16</v>
      </c>
      <c r="C132" s="177" t="s">
        <v>22</v>
      </c>
      <c r="D132" s="177">
        <v>5930110100</v>
      </c>
      <c r="E132" s="178">
        <v>244</v>
      </c>
      <c r="F132" s="177">
        <v>290</v>
      </c>
      <c r="G132" s="179"/>
      <c r="H132" s="18">
        <v>197000</v>
      </c>
      <c r="I132" s="18">
        <v>0</v>
      </c>
      <c r="J132" s="18">
        <v>0</v>
      </c>
      <c r="K132" s="18">
        <v>0</v>
      </c>
      <c r="L132" s="18">
        <v>49250</v>
      </c>
      <c r="M132" s="18">
        <v>0</v>
      </c>
      <c r="N132" s="18">
        <v>0</v>
      </c>
      <c r="O132" s="18">
        <v>49250</v>
      </c>
      <c r="P132" s="18">
        <v>0</v>
      </c>
      <c r="Q132" s="18">
        <v>0</v>
      </c>
      <c r="R132" s="18">
        <v>49250</v>
      </c>
      <c r="S132" s="18">
        <v>0</v>
      </c>
      <c r="T132" s="18">
        <v>49250</v>
      </c>
      <c r="U132" s="24">
        <f t="shared" si="38"/>
        <v>197000</v>
      </c>
    </row>
    <row r="133" spans="1:21" ht="12.75">
      <c r="A133" s="5"/>
      <c r="B133" s="68"/>
      <c r="C133" s="133"/>
      <c r="D133" s="133"/>
      <c r="E133" s="134"/>
      <c r="F133" s="133"/>
      <c r="G133" s="67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24">
        <f t="shared" si="38"/>
        <v>0</v>
      </c>
    </row>
    <row r="134" spans="1:21" ht="63.75">
      <c r="A134" s="5" t="s">
        <v>42</v>
      </c>
      <c r="B134" s="35" t="s">
        <v>130</v>
      </c>
      <c r="C134" s="148" t="s">
        <v>22</v>
      </c>
      <c r="D134" s="161">
        <v>6010000000</v>
      </c>
      <c r="E134" s="161"/>
      <c r="F134" s="161"/>
      <c r="G134" s="37"/>
      <c r="H134" s="39">
        <f aca="true" t="shared" si="41" ref="H134:T134">H135</f>
        <v>15000</v>
      </c>
      <c r="I134" s="39">
        <f t="shared" si="41"/>
        <v>0</v>
      </c>
      <c r="J134" s="39">
        <f t="shared" si="41"/>
        <v>0</v>
      </c>
      <c r="K134" s="39">
        <f t="shared" si="41"/>
        <v>0</v>
      </c>
      <c r="L134" s="39">
        <f t="shared" si="41"/>
        <v>0</v>
      </c>
      <c r="M134" s="39">
        <f t="shared" si="41"/>
        <v>0</v>
      </c>
      <c r="N134" s="39">
        <f t="shared" si="41"/>
        <v>0</v>
      </c>
      <c r="O134" s="39">
        <f t="shared" si="41"/>
        <v>0</v>
      </c>
      <c r="P134" s="39">
        <f t="shared" si="41"/>
        <v>0</v>
      </c>
      <c r="Q134" s="39">
        <f t="shared" si="41"/>
        <v>0</v>
      </c>
      <c r="R134" s="39">
        <f t="shared" si="41"/>
        <v>0</v>
      </c>
      <c r="S134" s="39">
        <f t="shared" si="41"/>
        <v>0</v>
      </c>
      <c r="T134" s="39">
        <f t="shared" si="41"/>
        <v>15000</v>
      </c>
      <c r="U134" s="24">
        <f t="shared" si="38"/>
        <v>15000</v>
      </c>
    </row>
    <row r="135" spans="1:21" ht="12.75">
      <c r="A135" s="5" t="s">
        <v>42</v>
      </c>
      <c r="B135" s="47" t="s">
        <v>15</v>
      </c>
      <c r="C135" s="168" t="s">
        <v>22</v>
      </c>
      <c r="D135" s="177">
        <v>6010110120</v>
      </c>
      <c r="E135" s="178">
        <v>244</v>
      </c>
      <c r="F135" s="177">
        <v>226</v>
      </c>
      <c r="G135" s="67"/>
      <c r="H135" s="18">
        <v>15000</v>
      </c>
      <c r="I135" s="18">
        <v>0</v>
      </c>
      <c r="J135" s="18">
        <v>0</v>
      </c>
      <c r="K135" s="18">
        <v>0</v>
      </c>
      <c r="L135" s="18">
        <v>0</v>
      </c>
      <c r="M135" s="18">
        <v>0</v>
      </c>
      <c r="N135" s="18">
        <v>0</v>
      </c>
      <c r="O135" s="18">
        <v>0</v>
      </c>
      <c r="P135" s="18">
        <v>0</v>
      </c>
      <c r="Q135" s="18">
        <v>0</v>
      </c>
      <c r="R135" s="18">
        <v>0</v>
      </c>
      <c r="S135" s="18">
        <v>0</v>
      </c>
      <c r="T135" s="18">
        <v>15000</v>
      </c>
      <c r="U135" s="24">
        <f t="shared" si="38"/>
        <v>15000</v>
      </c>
    </row>
    <row r="136" spans="1:21" ht="12.75">
      <c r="A136" s="5"/>
      <c r="B136" s="68"/>
      <c r="C136" s="168"/>
      <c r="D136" s="177"/>
      <c r="E136" s="178"/>
      <c r="F136" s="177"/>
      <c r="G136" s="6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24">
        <f t="shared" si="38"/>
        <v>0</v>
      </c>
    </row>
    <row r="137" spans="1:21" ht="12.75">
      <c r="A137" s="5"/>
      <c r="B137" s="29" t="s">
        <v>53</v>
      </c>
      <c r="C137" s="180" t="s">
        <v>22</v>
      </c>
      <c r="D137" s="177"/>
      <c r="E137" s="178"/>
      <c r="F137" s="177"/>
      <c r="G137" s="67"/>
      <c r="H137" s="19">
        <f aca="true" t="shared" si="42" ref="H137:T137">H134+H131+H128</f>
        <v>324500</v>
      </c>
      <c r="I137" s="19">
        <f t="shared" si="42"/>
        <v>0</v>
      </c>
      <c r="J137" s="19">
        <f t="shared" si="42"/>
        <v>0</v>
      </c>
      <c r="K137" s="19">
        <f t="shared" si="42"/>
        <v>0</v>
      </c>
      <c r="L137" s="19">
        <f t="shared" si="42"/>
        <v>54250</v>
      </c>
      <c r="M137" s="19">
        <f t="shared" si="42"/>
        <v>0</v>
      </c>
      <c r="N137" s="19">
        <f t="shared" si="42"/>
        <v>0</v>
      </c>
      <c r="O137" s="19">
        <f t="shared" si="42"/>
        <v>54250</v>
      </c>
      <c r="P137" s="19">
        <f t="shared" si="42"/>
        <v>0</v>
      </c>
      <c r="Q137" s="19">
        <f t="shared" si="42"/>
        <v>0</v>
      </c>
      <c r="R137" s="19">
        <f t="shared" si="42"/>
        <v>95250</v>
      </c>
      <c r="S137" s="19">
        <f t="shared" si="42"/>
        <v>32500</v>
      </c>
      <c r="T137" s="19">
        <f t="shared" si="42"/>
        <v>88250</v>
      </c>
      <c r="U137" s="24">
        <f t="shared" si="38"/>
        <v>324500</v>
      </c>
    </row>
    <row r="138" spans="1:21" ht="12.75">
      <c r="A138" s="5"/>
      <c r="B138" s="68"/>
      <c r="C138" s="129"/>
      <c r="D138" s="133"/>
      <c r="E138" s="134"/>
      <c r="F138" s="133"/>
      <c r="G138" s="67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24">
        <f t="shared" si="38"/>
        <v>0</v>
      </c>
    </row>
    <row r="139" spans="1:21" ht="12.75">
      <c r="A139" s="53"/>
      <c r="B139" s="54" t="s">
        <v>70</v>
      </c>
      <c r="C139" s="137"/>
      <c r="D139" s="135"/>
      <c r="E139" s="138"/>
      <c r="F139" s="135"/>
      <c r="G139" s="69"/>
      <c r="H139" s="70">
        <f aca="true" t="shared" si="43" ref="H139:T139">H137+H126</f>
        <v>344500</v>
      </c>
      <c r="I139" s="70">
        <f t="shared" si="43"/>
        <v>0</v>
      </c>
      <c r="J139" s="70">
        <f t="shared" si="43"/>
        <v>0</v>
      </c>
      <c r="K139" s="70">
        <f t="shared" si="43"/>
        <v>0</v>
      </c>
      <c r="L139" s="70">
        <f t="shared" si="43"/>
        <v>54250</v>
      </c>
      <c r="M139" s="70">
        <f t="shared" si="43"/>
        <v>0</v>
      </c>
      <c r="N139" s="70">
        <f t="shared" si="43"/>
        <v>0</v>
      </c>
      <c r="O139" s="70">
        <f t="shared" si="43"/>
        <v>54250</v>
      </c>
      <c r="P139" s="70">
        <f t="shared" si="43"/>
        <v>0</v>
      </c>
      <c r="Q139" s="70">
        <f t="shared" si="43"/>
        <v>0</v>
      </c>
      <c r="R139" s="70">
        <f t="shared" si="43"/>
        <v>95250</v>
      </c>
      <c r="S139" s="70">
        <f t="shared" si="43"/>
        <v>52500</v>
      </c>
      <c r="T139" s="70">
        <f t="shared" si="43"/>
        <v>88250</v>
      </c>
      <c r="U139" s="24">
        <f t="shared" si="38"/>
        <v>344500</v>
      </c>
    </row>
    <row r="140" spans="1:21" ht="12.75">
      <c r="A140" s="5"/>
      <c r="B140" s="68"/>
      <c r="C140" s="129"/>
      <c r="D140" s="133"/>
      <c r="E140" s="134"/>
      <c r="F140" s="133"/>
      <c r="G140" s="67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24"/>
    </row>
    <row r="141" spans="1:21" ht="102">
      <c r="A141" s="5" t="s">
        <v>42</v>
      </c>
      <c r="B141" s="35" t="s">
        <v>131</v>
      </c>
      <c r="C141" s="148" t="s">
        <v>47</v>
      </c>
      <c r="D141" s="161">
        <v>6100000000</v>
      </c>
      <c r="E141" s="117"/>
      <c r="F141" s="117"/>
      <c r="G141" s="37"/>
      <c r="H141" s="39">
        <f>H143+H146</f>
        <v>7755200</v>
      </c>
      <c r="I141" s="39">
        <f aca="true" t="shared" si="44" ref="I141:T141">I143+I146+I149</f>
        <v>80000</v>
      </c>
      <c r="J141" s="39">
        <f t="shared" si="44"/>
        <v>20000</v>
      </c>
      <c r="K141" s="39">
        <f t="shared" si="44"/>
        <v>35000</v>
      </c>
      <c r="L141" s="39">
        <f t="shared" si="44"/>
        <v>280050</v>
      </c>
      <c r="M141" s="39">
        <f t="shared" si="44"/>
        <v>111375</v>
      </c>
      <c r="N141" s="39">
        <f t="shared" si="44"/>
        <v>0</v>
      </c>
      <c r="O141" s="39">
        <f t="shared" si="44"/>
        <v>200000</v>
      </c>
      <c r="P141" s="39">
        <f t="shared" si="44"/>
        <v>864960</v>
      </c>
      <c r="Q141" s="39">
        <f t="shared" si="44"/>
        <v>200000</v>
      </c>
      <c r="R141" s="39">
        <f t="shared" si="44"/>
        <v>1376775</v>
      </c>
      <c r="S141" s="39">
        <f t="shared" si="44"/>
        <v>1953415</v>
      </c>
      <c r="T141" s="39">
        <f t="shared" si="44"/>
        <v>2663625</v>
      </c>
      <c r="U141" s="24">
        <f>I141+J141+K141+L141+M141+N141+O141+P141+Q141+R141+S141+T141</f>
        <v>7785200</v>
      </c>
    </row>
    <row r="142" spans="1:21" ht="12.75">
      <c r="A142" s="5"/>
      <c r="B142" s="71"/>
      <c r="C142" s="123"/>
      <c r="D142" s="123"/>
      <c r="E142" s="123"/>
      <c r="F142" s="123"/>
      <c r="G142" s="44"/>
      <c r="H142" s="7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24"/>
    </row>
    <row r="143" spans="1:21" ht="89.25">
      <c r="A143" s="5" t="s">
        <v>42</v>
      </c>
      <c r="B143" s="35" t="s">
        <v>132</v>
      </c>
      <c r="C143" s="148" t="s">
        <v>47</v>
      </c>
      <c r="D143" s="161">
        <v>6110000000</v>
      </c>
      <c r="E143" s="161"/>
      <c r="F143" s="161"/>
      <c r="G143" s="37"/>
      <c r="H143" s="39">
        <f>H144+H145</f>
        <v>1100000</v>
      </c>
      <c r="I143" s="39">
        <f aca="true" t="shared" si="45" ref="I143:T143">I144+I145</f>
        <v>0</v>
      </c>
      <c r="J143" s="39">
        <f t="shared" si="45"/>
        <v>0</v>
      </c>
      <c r="K143" s="39">
        <f t="shared" si="45"/>
        <v>0</v>
      </c>
      <c r="L143" s="39">
        <f t="shared" si="45"/>
        <v>0</v>
      </c>
      <c r="M143" s="39">
        <f t="shared" si="45"/>
        <v>0</v>
      </c>
      <c r="N143" s="39">
        <f t="shared" si="45"/>
        <v>0</v>
      </c>
      <c r="O143" s="39">
        <f t="shared" si="45"/>
        <v>0</v>
      </c>
      <c r="P143" s="39">
        <f t="shared" si="45"/>
        <v>0</v>
      </c>
      <c r="Q143" s="39">
        <f t="shared" si="45"/>
        <v>0</v>
      </c>
      <c r="R143" s="39">
        <f t="shared" si="45"/>
        <v>350000</v>
      </c>
      <c r="S143" s="39">
        <f t="shared" si="45"/>
        <v>150000</v>
      </c>
      <c r="T143" s="39">
        <f t="shared" si="45"/>
        <v>600000</v>
      </c>
      <c r="U143" s="24">
        <f aca="true" t="shared" si="46" ref="U143:U150">I143+J143+K143+L143+M143+N143+O143+P143+Q143+R143+S143+T143</f>
        <v>1100000</v>
      </c>
    </row>
    <row r="144" spans="1:21" ht="25.5">
      <c r="A144" s="5" t="s">
        <v>42</v>
      </c>
      <c r="B144" s="72" t="s">
        <v>71</v>
      </c>
      <c r="C144" s="170" t="s">
        <v>47</v>
      </c>
      <c r="D144" s="181" t="s">
        <v>72</v>
      </c>
      <c r="E144" s="171">
        <v>244</v>
      </c>
      <c r="F144" s="171">
        <v>225</v>
      </c>
      <c r="G144" s="44"/>
      <c r="H144" s="52">
        <v>1100000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350000</v>
      </c>
      <c r="S144" s="18">
        <v>150000</v>
      </c>
      <c r="T144" s="18">
        <v>600000</v>
      </c>
      <c r="U144" s="24">
        <f t="shared" si="46"/>
        <v>1100000</v>
      </c>
    </row>
    <row r="145" spans="1:21" ht="12.75">
      <c r="A145" s="5"/>
      <c r="B145" s="71"/>
      <c r="C145" s="170"/>
      <c r="D145" s="181"/>
      <c r="E145" s="171"/>
      <c r="F145" s="171"/>
      <c r="G145" s="44"/>
      <c r="H145" s="78">
        <v>0</v>
      </c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>
        <v>0</v>
      </c>
      <c r="U145" s="24">
        <f t="shared" si="46"/>
        <v>0</v>
      </c>
    </row>
    <row r="146" spans="1:21" ht="76.5">
      <c r="A146" s="5" t="s">
        <v>42</v>
      </c>
      <c r="B146" s="35" t="s">
        <v>133</v>
      </c>
      <c r="C146" s="148" t="s">
        <v>47</v>
      </c>
      <c r="D146" s="161">
        <v>6120000000</v>
      </c>
      <c r="E146" s="161"/>
      <c r="F146" s="161"/>
      <c r="G146" s="161"/>
      <c r="H146" s="39">
        <f aca="true" t="shared" si="47" ref="H146:T146">H147</f>
        <v>6655200</v>
      </c>
      <c r="I146" s="39">
        <f t="shared" si="47"/>
        <v>80000</v>
      </c>
      <c r="J146" s="39">
        <f t="shared" si="47"/>
        <v>20000</v>
      </c>
      <c r="K146" s="39">
        <f t="shared" si="47"/>
        <v>35000</v>
      </c>
      <c r="L146" s="39">
        <f t="shared" si="47"/>
        <v>280050</v>
      </c>
      <c r="M146" s="39">
        <f t="shared" si="47"/>
        <v>111375</v>
      </c>
      <c r="N146" s="39">
        <f t="shared" si="47"/>
        <v>0</v>
      </c>
      <c r="O146" s="39">
        <f t="shared" si="47"/>
        <v>200000</v>
      </c>
      <c r="P146" s="39">
        <f t="shared" si="47"/>
        <v>864960</v>
      </c>
      <c r="Q146" s="39">
        <f t="shared" si="47"/>
        <v>200000</v>
      </c>
      <c r="R146" s="39">
        <f t="shared" si="47"/>
        <v>1026775</v>
      </c>
      <c r="S146" s="39">
        <f t="shared" si="47"/>
        <v>1803415</v>
      </c>
      <c r="T146" s="39">
        <f t="shared" si="47"/>
        <v>2033625</v>
      </c>
      <c r="U146" s="24">
        <f t="shared" si="46"/>
        <v>6655200</v>
      </c>
    </row>
    <row r="147" spans="1:21" ht="25.5">
      <c r="A147" s="5" t="s">
        <v>42</v>
      </c>
      <c r="B147" s="72" t="s">
        <v>71</v>
      </c>
      <c r="C147" s="170" t="s">
        <v>47</v>
      </c>
      <c r="D147" s="171">
        <v>6120110140</v>
      </c>
      <c r="E147" s="171">
        <v>244</v>
      </c>
      <c r="F147" s="171">
        <v>225</v>
      </c>
      <c r="G147" s="60"/>
      <c r="H147" s="52">
        <v>6655200</v>
      </c>
      <c r="I147" s="18">
        <v>80000</v>
      </c>
      <c r="J147" s="18">
        <v>20000</v>
      </c>
      <c r="K147" s="18">
        <v>35000</v>
      </c>
      <c r="L147" s="18">
        <v>280050</v>
      </c>
      <c r="M147" s="18">
        <v>111375</v>
      </c>
      <c r="N147" s="18">
        <v>0</v>
      </c>
      <c r="O147" s="18">
        <v>200000</v>
      </c>
      <c r="P147" s="18">
        <v>864960</v>
      </c>
      <c r="Q147" s="18">
        <v>200000</v>
      </c>
      <c r="R147" s="18">
        <v>1026775</v>
      </c>
      <c r="S147" s="18">
        <v>1803415</v>
      </c>
      <c r="T147" s="18">
        <f>3098625-1065000</f>
        <v>2033625</v>
      </c>
      <c r="U147" s="24">
        <f t="shared" si="46"/>
        <v>6655200</v>
      </c>
    </row>
    <row r="148" spans="1:21" ht="12.75">
      <c r="A148" s="5"/>
      <c r="B148" s="71"/>
      <c r="C148" s="123"/>
      <c r="D148" s="123"/>
      <c r="E148" s="123"/>
      <c r="F148" s="123"/>
      <c r="G148" s="44"/>
      <c r="H148" s="7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24">
        <f t="shared" si="46"/>
        <v>0</v>
      </c>
    </row>
    <row r="149" spans="1:21" ht="76.5">
      <c r="A149" s="42" t="s">
        <v>42</v>
      </c>
      <c r="B149" s="35" t="s">
        <v>134</v>
      </c>
      <c r="C149" s="148" t="s">
        <v>47</v>
      </c>
      <c r="D149" s="161">
        <v>6600110420</v>
      </c>
      <c r="E149" s="161"/>
      <c r="F149" s="161"/>
      <c r="G149" s="161"/>
      <c r="H149" s="39">
        <f aca="true" t="shared" si="48" ref="H149:T149">H150</f>
        <v>30000</v>
      </c>
      <c r="I149" s="39">
        <f t="shared" si="48"/>
        <v>0</v>
      </c>
      <c r="J149" s="39">
        <f t="shared" si="48"/>
        <v>0</v>
      </c>
      <c r="K149" s="39">
        <f t="shared" si="48"/>
        <v>0</v>
      </c>
      <c r="L149" s="39">
        <f t="shared" si="48"/>
        <v>0</v>
      </c>
      <c r="M149" s="39">
        <f t="shared" si="48"/>
        <v>0</v>
      </c>
      <c r="N149" s="39">
        <f t="shared" si="48"/>
        <v>0</v>
      </c>
      <c r="O149" s="39">
        <f t="shared" si="48"/>
        <v>0</v>
      </c>
      <c r="P149" s="39">
        <f t="shared" si="48"/>
        <v>0</v>
      </c>
      <c r="Q149" s="39">
        <f t="shared" si="48"/>
        <v>0</v>
      </c>
      <c r="R149" s="39">
        <f t="shared" si="48"/>
        <v>0</v>
      </c>
      <c r="S149" s="39">
        <f t="shared" si="48"/>
        <v>0</v>
      </c>
      <c r="T149" s="39">
        <f t="shared" si="48"/>
        <v>30000</v>
      </c>
      <c r="U149" s="24">
        <f t="shared" si="46"/>
        <v>30000</v>
      </c>
    </row>
    <row r="150" spans="1:21" ht="25.5">
      <c r="A150" s="5" t="s">
        <v>42</v>
      </c>
      <c r="B150" s="72" t="s">
        <v>71</v>
      </c>
      <c r="C150" s="170" t="s">
        <v>47</v>
      </c>
      <c r="D150" s="171">
        <v>6600110420</v>
      </c>
      <c r="E150" s="171">
        <v>244</v>
      </c>
      <c r="F150" s="171">
        <v>225</v>
      </c>
      <c r="G150" s="60"/>
      <c r="H150" s="52">
        <v>30000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30000</v>
      </c>
      <c r="U150" s="24">
        <f t="shared" si="46"/>
        <v>30000</v>
      </c>
    </row>
    <row r="151" spans="1:21" ht="12.75">
      <c r="A151" s="5"/>
      <c r="B151" s="71"/>
      <c r="C151" s="123"/>
      <c r="D151" s="123"/>
      <c r="E151" s="123"/>
      <c r="F151" s="123"/>
      <c r="G151" s="44"/>
      <c r="H151" s="7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24"/>
    </row>
    <row r="152" spans="1:21" ht="12.75">
      <c r="A152" s="5"/>
      <c r="B152" s="29" t="s">
        <v>53</v>
      </c>
      <c r="C152" s="180" t="s">
        <v>47</v>
      </c>
      <c r="D152" s="123"/>
      <c r="E152" s="123"/>
      <c r="F152" s="123"/>
      <c r="G152" s="44"/>
      <c r="H152" s="74">
        <f>H141+H149</f>
        <v>7785200</v>
      </c>
      <c r="I152" s="75">
        <f aca="true" t="shared" si="49" ref="I152:T152">I141</f>
        <v>80000</v>
      </c>
      <c r="J152" s="75">
        <f t="shared" si="49"/>
        <v>20000</v>
      </c>
      <c r="K152" s="75">
        <f t="shared" si="49"/>
        <v>35000</v>
      </c>
      <c r="L152" s="75">
        <f t="shared" si="49"/>
        <v>280050</v>
      </c>
      <c r="M152" s="75">
        <f t="shared" si="49"/>
        <v>111375</v>
      </c>
      <c r="N152" s="75">
        <f t="shared" si="49"/>
        <v>0</v>
      </c>
      <c r="O152" s="75">
        <f t="shared" si="49"/>
        <v>200000</v>
      </c>
      <c r="P152" s="75">
        <f t="shared" si="49"/>
        <v>864960</v>
      </c>
      <c r="Q152" s="75">
        <f t="shared" si="49"/>
        <v>200000</v>
      </c>
      <c r="R152" s="75">
        <f t="shared" si="49"/>
        <v>1376775</v>
      </c>
      <c r="S152" s="75">
        <f t="shared" si="49"/>
        <v>1953415</v>
      </c>
      <c r="T152" s="75">
        <f t="shared" si="49"/>
        <v>2663625</v>
      </c>
      <c r="U152" s="24">
        <f>I152+J152+K152+L152+M152+N152+O152+P152+Q152+R152+S152+T152</f>
        <v>7785200</v>
      </c>
    </row>
    <row r="153" spans="1:21" ht="12.75">
      <c r="A153" s="5"/>
      <c r="B153" s="71"/>
      <c r="C153" s="123"/>
      <c r="D153" s="123"/>
      <c r="E153" s="123"/>
      <c r="F153" s="123"/>
      <c r="G153" s="44"/>
      <c r="H153" s="77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24"/>
    </row>
    <row r="154" spans="1:21" ht="89.25">
      <c r="A154" s="5" t="s">
        <v>42</v>
      </c>
      <c r="B154" s="35" t="s">
        <v>136</v>
      </c>
      <c r="C154" s="148" t="s">
        <v>23</v>
      </c>
      <c r="D154" s="161">
        <v>6200000000</v>
      </c>
      <c r="E154" s="161"/>
      <c r="F154" s="161"/>
      <c r="G154" s="161"/>
      <c r="H154" s="39">
        <f aca="true" t="shared" si="50" ref="H154:T154">H155</f>
        <v>50000</v>
      </c>
      <c r="I154" s="39">
        <f t="shared" si="50"/>
        <v>0</v>
      </c>
      <c r="J154" s="39">
        <f t="shared" si="50"/>
        <v>0</v>
      </c>
      <c r="K154" s="39">
        <f t="shared" si="50"/>
        <v>0</v>
      </c>
      <c r="L154" s="39">
        <f t="shared" si="50"/>
        <v>12500</v>
      </c>
      <c r="M154" s="39">
        <f t="shared" si="50"/>
        <v>0</v>
      </c>
      <c r="N154" s="39">
        <f t="shared" si="50"/>
        <v>0</v>
      </c>
      <c r="O154" s="39">
        <f t="shared" si="50"/>
        <v>0</v>
      </c>
      <c r="P154" s="39">
        <f t="shared" si="50"/>
        <v>0</v>
      </c>
      <c r="Q154" s="39">
        <f t="shared" si="50"/>
        <v>0</v>
      </c>
      <c r="R154" s="39">
        <f t="shared" si="50"/>
        <v>12500</v>
      </c>
      <c r="S154" s="39">
        <f t="shared" si="50"/>
        <v>12500</v>
      </c>
      <c r="T154" s="39">
        <f t="shared" si="50"/>
        <v>12500</v>
      </c>
      <c r="U154" s="24">
        <f>I154+J154+K154+L154+M154+N154+O154+P154+Q154+R154+S154+T154</f>
        <v>50000</v>
      </c>
    </row>
    <row r="155" spans="1:21" ht="12.75">
      <c r="A155" s="5" t="s">
        <v>42</v>
      </c>
      <c r="B155" s="47" t="s">
        <v>15</v>
      </c>
      <c r="C155" s="170" t="s">
        <v>23</v>
      </c>
      <c r="D155" s="171">
        <v>6210110160</v>
      </c>
      <c r="E155" s="171">
        <v>414</v>
      </c>
      <c r="F155" s="171">
        <v>226</v>
      </c>
      <c r="G155" s="60"/>
      <c r="H155" s="52">
        <v>50000</v>
      </c>
      <c r="I155" s="18">
        <v>0</v>
      </c>
      <c r="J155" s="18">
        <v>0</v>
      </c>
      <c r="K155" s="18">
        <v>0</v>
      </c>
      <c r="L155" s="18">
        <v>12500</v>
      </c>
      <c r="M155" s="18">
        <v>0</v>
      </c>
      <c r="N155" s="18">
        <v>0</v>
      </c>
      <c r="O155" s="18">
        <v>0</v>
      </c>
      <c r="P155" s="18">
        <v>0</v>
      </c>
      <c r="Q155" s="18">
        <v>0</v>
      </c>
      <c r="R155" s="18">
        <v>12500</v>
      </c>
      <c r="S155" s="18">
        <v>12500</v>
      </c>
      <c r="T155" s="18">
        <v>12500</v>
      </c>
      <c r="U155" s="24">
        <f>I155+J155+K155+L155+M155+N155+O155+P155+Q155+R155+S155+T155</f>
        <v>50000</v>
      </c>
    </row>
    <row r="156" spans="1:21" ht="12.75">
      <c r="A156" s="5"/>
      <c r="B156" s="71"/>
      <c r="C156" s="123"/>
      <c r="D156" s="123"/>
      <c r="E156" s="123"/>
      <c r="F156" s="123"/>
      <c r="G156" s="44"/>
      <c r="H156" s="7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24"/>
    </row>
    <row r="157" spans="1:21" ht="89.25">
      <c r="A157" s="5" t="s">
        <v>42</v>
      </c>
      <c r="B157" s="35" t="s">
        <v>135</v>
      </c>
      <c r="C157" s="148" t="s">
        <v>23</v>
      </c>
      <c r="D157" s="161">
        <v>6300000000</v>
      </c>
      <c r="E157" s="161"/>
      <c r="F157" s="161"/>
      <c r="G157" s="161"/>
      <c r="H157" s="39">
        <f aca="true" t="shared" si="51" ref="H157:T157">H158</f>
        <v>10000</v>
      </c>
      <c r="I157" s="39">
        <f t="shared" si="51"/>
        <v>0</v>
      </c>
      <c r="J157" s="39">
        <f t="shared" si="51"/>
        <v>0</v>
      </c>
      <c r="K157" s="39">
        <f t="shared" si="51"/>
        <v>0</v>
      </c>
      <c r="L157" s="39">
        <f t="shared" si="51"/>
        <v>0</v>
      </c>
      <c r="M157" s="39">
        <f t="shared" si="51"/>
        <v>0</v>
      </c>
      <c r="N157" s="39">
        <f t="shared" si="51"/>
        <v>0</v>
      </c>
      <c r="O157" s="39">
        <f t="shared" si="51"/>
        <v>0</v>
      </c>
      <c r="P157" s="39">
        <f t="shared" si="51"/>
        <v>0</v>
      </c>
      <c r="Q157" s="39">
        <f t="shared" si="51"/>
        <v>0</v>
      </c>
      <c r="R157" s="39">
        <f t="shared" si="51"/>
        <v>0</v>
      </c>
      <c r="S157" s="39">
        <f t="shared" si="51"/>
        <v>0</v>
      </c>
      <c r="T157" s="39">
        <f t="shared" si="51"/>
        <v>10000</v>
      </c>
      <c r="U157" s="24">
        <f>I157+J157+K157+L157+M157+N157+O157+P157+Q157+R157+S157+T157</f>
        <v>10000</v>
      </c>
    </row>
    <row r="158" spans="1:21" ht="12.75">
      <c r="A158" s="5" t="s">
        <v>42</v>
      </c>
      <c r="B158" s="72" t="s">
        <v>16</v>
      </c>
      <c r="C158" s="170" t="s">
        <v>23</v>
      </c>
      <c r="D158" s="171">
        <v>6310110170</v>
      </c>
      <c r="E158" s="171">
        <v>244</v>
      </c>
      <c r="F158" s="171">
        <v>290</v>
      </c>
      <c r="G158" s="171"/>
      <c r="H158" s="52">
        <v>10000</v>
      </c>
      <c r="I158" s="18">
        <v>0</v>
      </c>
      <c r="J158" s="18">
        <v>0</v>
      </c>
      <c r="K158" s="18">
        <v>0</v>
      </c>
      <c r="L158" s="18">
        <v>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v>0</v>
      </c>
      <c r="S158" s="18">
        <v>0</v>
      </c>
      <c r="T158" s="18">
        <v>10000</v>
      </c>
      <c r="U158" s="24">
        <f>I158+J158+K158+L158+M158+N158+O158+P158+Q158+R158+S158+T158</f>
        <v>10000</v>
      </c>
    </row>
    <row r="159" spans="1:21" ht="12.75" hidden="1">
      <c r="A159" s="5"/>
      <c r="B159" s="72"/>
      <c r="C159" s="128"/>
      <c r="D159" s="127"/>
      <c r="E159" s="127"/>
      <c r="F159" s="127"/>
      <c r="G159" s="50"/>
      <c r="H159" s="7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24"/>
    </row>
    <row r="160" spans="1:21" ht="88.5" customHeight="1" hidden="1">
      <c r="A160" s="5" t="s">
        <v>42</v>
      </c>
      <c r="B160" s="35" t="s">
        <v>105</v>
      </c>
      <c r="C160" s="116" t="s">
        <v>23</v>
      </c>
      <c r="D160" s="117">
        <v>6400000000</v>
      </c>
      <c r="E160" s="117"/>
      <c r="F160" s="117"/>
      <c r="G160" s="37"/>
      <c r="H160" s="39">
        <f aca="true" t="shared" si="52" ref="H160:T160">H162</f>
        <v>0</v>
      </c>
      <c r="I160" s="39">
        <f t="shared" si="52"/>
        <v>0</v>
      </c>
      <c r="J160" s="39">
        <f t="shared" si="52"/>
        <v>0</v>
      </c>
      <c r="K160" s="39">
        <f t="shared" si="52"/>
        <v>0</v>
      </c>
      <c r="L160" s="39">
        <f t="shared" si="52"/>
        <v>0</v>
      </c>
      <c r="M160" s="39">
        <f t="shared" si="52"/>
        <v>0</v>
      </c>
      <c r="N160" s="39">
        <f t="shared" si="52"/>
        <v>0</v>
      </c>
      <c r="O160" s="39">
        <f t="shared" si="52"/>
        <v>0</v>
      </c>
      <c r="P160" s="39">
        <f t="shared" si="52"/>
        <v>0</v>
      </c>
      <c r="Q160" s="39">
        <f t="shared" si="52"/>
        <v>0</v>
      </c>
      <c r="R160" s="39">
        <f t="shared" si="52"/>
        <v>0</v>
      </c>
      <c r="S160" s="39">
        <f t="shared" si="52"/>
        <v>0</v>
      </c>
      <c r="T160" s="39">
        <f t="shared" si="52"/>
        <v>0</v>
      </c>
      <c r="U160" s="24">
        <f>I160+J160+K160+L160+M160+N160+O160+P160+Q160+R160+S160+T160</f>
        <v>0</v>
      </c>
    </row>
    <row r="161" spans="1:21" ht="12.75" hidden="1">
      <c r="A161" s="5"/>
      <c r="B161" s="76"/>
      <c r="C161" s="136"/>
      <c r="D161" s="123"/>
      <c r="E161" s="123"/>
      <c r="F161" s="123"/>
      <c r="G161" s="44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24"/>
    </row>
    <row r="162" spans="1:21" ht="120.75" customHeight="1" hidden="1">
      <c r="A162" s="5" t="s">
        <v>42</v>
      </c>
      <c r="B162" s="35" t="s">
        <v>106</v>
      </c>
      <c r="C162" s="116" t="s">
        <v>23</v>
      </c>
      <c r="D162" s="117">
        <v>6410000000</v>
      </c>
      <c r="E162" s="117"/>
      <c r="F162" s="117"/>
      <c r="G162" s="37"/>
      <c r="H162" s="39">
        <f aca="true" t="shared" si="53" ref="H162:T162">H163</f>
        <v>0</v>
      </c>
      <c r="I162" s="39">
        <f t="shared" si="53"/>
        <v>0</v>
      </c>
      <c r="J162" s="39">
        <f t="shared" si="53"/>
        <v>0</v>
      </c>
      <c r="K162" s="39">
        <f t="shared" si="53"/>
        <v>0</v>
      </c>
      <c r="L162" s="39">
        <f t="shared" si="53"/>
        <v>0</v>
      </c>
      <c r="M162" s="39">
        <f t="shared" si="53"/>
        <v>0</v>
      </c>
      <c r="N162" s="39">
        <f t="shared" si="53"/>
        <v>0</v>
      </c>
      <c r="O162" s="39">
        <f t="shared" si="53"/>
        <v>0</v>
      </c>
      <c r="P162" s="39">
        <f t="shared" si="53"/>
        <v>0</v>
      </c>
      <c r="Q162" s="39">
        <f t="shared" si="53"/>
        <v>0</v>
      </c>
      <c r="R162" s="39">
        <f t="shared" si="53"/>
        <v>0</v>
      </c>
      <c r="S162" s="39">
        <f t="shared" si="53"/>
        <v>0</v>
      </c>
      <c r="T162" s="39">
        <f t="shared" si="53"/>
        <v>0</v>
      </c>
      <c r="U162" s="24">
        <f>I162+J162+K162+L162+M162+N162+O162+P162+Q162+R162+S162+T162</f>
        <v>0</v>
      </c>
    </row>
    <row r="163" spans="1:21" ht="12.75" hidden="1">
      <c r="A163" s="5" t="s">
        <v>42</v>
      </c>
      <c r="B163" s="47" t="s">
        <v>15</v>
      </c>
      <c r="C163" s="128" t="s">
        <v>23</v>
      </c>
      <c r="D163" s="127">
        <v>6410110180</v>
      </c>
      <c r="E163" s="127">
        <v>244</v>
      </c>
      <c r="F163" s="127">
        <v>226</v>
      </c>
      <c r="G163" s="50"/>
      <c r="H163" s="52">
        <v>0</v>
      </c>
      <c r="I163" s="78">
        <v>0</v>
      </c>
      <c r="J163" s="78">
        <v>0</v>
      </c>
      <c r="K163" s="78">
        <v>0</v>
      </c>
      <c r="L163" s="78">
        <v>0</v>
      </c>
      <c r="M163" s="78">
        <v>0</v>
      </c>
      <c r="N163" s="78">
        <v>0</v>
      </c>
      <c r="O163" s="78">
        <v>0</v>
      </c>
      <c r="P163" s="78">
        <v>0</v>
      </c>
      <c r="Q163" s="78">
        <v>0</v>
      </c>
      <c r="R163" s="78">
        <v>0</v>
      </c>
      <c r="S163" s="78">
        <v>0</v>
      </c>
      <c r="T163" s="78">
        <v>0</v>
      </c>
      <c r="U163" s="24">
        <f>I163+J163+K163+L163+M163+N163+O163+P163+Q163+R163+S163+T163</f>
        <v>0</v>
      </c>
    </row>
    <row r="164" spans="1:21" ht="12.75">
      <c r="A164" s="5"/>
      <c r="B164" s="76"/>
      <c r="C164" s="136"/>
      <c r="D164" s="123"/>
      <c r="E164" s="123"/>
      <c r="F164" s="123"/>
      <c r="G164" s="44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24"/>
    </row>
    <row r="165" spans="1:21" ht="12.75">
      <c r="A165" s="5"/>
      <c r="B165" s="29" t="s">
        <v>53</v>
      </c>
      <c r="C165" s="180" t="s">
        <v>23</v>
      </c>
      <c r="D165" s="123"/>
      <c r="E165" s="123"/>
      <c r="F165" s="123"/>
      <c r="G165" s="44"/>
      <c r="H165" s="74">
        <f aca="true" t="shared" si="54" ref="H165:T165">H157+H154+H162</f>
        <v>60000</v>
      </c>
      <c r="I165" s="75">
        <f t="shared" si="54"/>
        <v>0</v>
      </c>
      <c r="J165" s="75">
        <f t="shared" si="54"/>
        <v>0</v>
      </c>
      <c r="K165" s="75">
        <f t="shared" si="54"/>
        <v>0</v>
      </c>
      <c r="L165" s="75">
        <f t="shared" si="54"/>
        <v>12500</v>
      </c>
      <c r="M165" s="75">
        <f t="shared" si="54"/>
        <v>0</v>
      </c>
      <c r="N165" s="75">
        <f t="shared" si="54"/>
        <v>0</v>
      </c>
      <c r="O165" s="75">
        <f t="shared" si="54"/>
        <v>0</v>
      </c>
      <c r="P165" s="75">
        <f t="shared" si="54"/>
        <v>0</v>
      </c>
      <c r="Q165" s="75">
        <f t="shared" si="54"/>
        <v>0</v>
      </c>
      <c r="R165" s="75">
        <f t="shared" si="54"/>
        <v>12500</v>
      </c>
      <c r="S165" s="75">
        <f t="shared" si="54"/>
        <v>12500</v>
      </c>
      <c r="T165" s="75">
        <f t="shared" si="54"/>
        <v>22500</v>
      </c>
      <c r="U165" s="24">
        <f>I165+J165+K165+L165+M165+N165+O165+P165+Q165+R165+S165+T165</f>
        <v>60000</v>
      </c>
    </row>
    <row r="166" spans="1:21" ht="12.75">
      <c r="A166" s="5"/>
      <c r="B166" s="71"/>
      <c r="C166" s="123"/>
      <c r="D166" s="123"/>
      <c r="E166" s="123"/>
      <c r="F166" s="123"/>
      <c r="G166" s="44"/>
      <c r="H166" s="77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24"/>
    </row>
    <row r="167" spans="1:21" ht="12.75">
      <c r="A167" s="53"/>
      <c r="B167" s="54" t="s">
        <v>73</v>
      </c>
      <c r="C167" s="139"/>
      <c r="D167" s="139"/>
      <c r="E167" s="139"/>
      <c r="F167" s="139"/>
      <c r="G167" s="79"/>
      <c r="H167" s="80">
        <f aca="true" t="shared" si="55" ref="H167:T167">H165+H152</f>
        <v>7845200</v>
      </c>
      <c r="I167" s="80">
        <f t="shared" si="55"/>
        <v>80000</v>
      </c>
      <c r="J167" s="80">
        <f t="shared" si="55"/>
        <v>20000</v>
      </c>
      <c r="K167" s="80">
        <f t="shared" si="55"/>
        <v>35000</v>
      </c>
      <c r="L167" s="80">
        <f t="shared" si="55"/>
        <v>292550</v>
      </c>
      <c r="M167" s="80">
        <f t="shared" si="55"/>
        <v>111375</v>
      </c>
      <c r="N167" s="80">
        <f t="shared" si="55"/>
        <v>0</v>
      </c>
      <c r="O167" s="80">
        <f t="shared" si="55"/>
        <v>200000</v>
      </c>
      <c r="P167" s="80">
        <f t="shared" si="55"/>
        <v>864960</v>
      </c>
      <c r="Q167" s="80">
        <f t="shared" si="55"/>
        <v>200000</v>
      </c>
      <c r="R167" s="80">
        <f t="shared" si="55"/>
        <v>1389275</v>
      </c>
      <c r="S167" s="80">
        <f t="shared" si="55"/>
        <v>1965915</v>
      </c>
      <c r="T167" s="80">
        <f t="shared" si="55"/>
        <v>2686125</v>
      </c>
      <c r="U167" s="24">
        <f>I167+J167+K167+L167+M167+N167+O167+P167+Q167+R167+S167+T167</f>
        <v>7845200</v>
      </c>
    </row>
    <row r="168" spans="1:21" ht="12.75">
      <c r="A168" s="42"/>
      <c r="B168" s="66"/>
      <c r="C168" s="123"/>
      <c r="D168" s="123"/>
      <c r="E168" s="123"/>
      <c r="F168" s="123"/>
      <c r="G168" s="44"/>
      <c r="H168" s="81"/>
      <c r="I168" s="81"/>
      <c r="J168" s="81"/>
      <c r="K168" s="81"/>
      <c r="L168" s="81"/>
      <c r="M168" s="81"/>
      <c r="N168" s="81"/>
      <c r="O168" s="81"/>
      <c r="P168" s="81"/>
      <c r="Q168" s="81"/>
      <c r="R168" s="81"/>
      <c r="S168" s="81"/>
      <c r="T168" s="81"/>
      <c r="U168" s="24"/>
    </row>
    <row r="169" spans="1:21" ht="84" customHeight="1">
      <c r="A169" s="5" t="s">
        <v>42</v>
      </c>
      <c r="B169" s="35" t="s">
        <v>138</v>
      </c>
      <c r="C169" s="148" t="s">
        <v>24</v>
      </c>
      <c r="D169" s="161">
        <v>6400000000</v>
      </c>
      <c r="E169" s="117"/>
      <c r="F169" s="117"/>
      <c r="G169" s="37"/>
      <c r="H169" s="39">
        <f>H171+H174+H178+H181+H184+H187</f>
        <v>1210700</v>
      </c>
      <c r="I169" s="39">
        <f aca="true" t="shared" si="56" ref="I169:T169">I171+I174+I178+I181+I184+I187</f>
        <v>6400</v>
      </c>
      <c r="J169" s="39">
        <f t="shared" si="56"/>
        <v>6400</v>
      </c>
      <c r="K169" s="39">
        <f t="shared" si="56"/>
        <v>6400</v>
      </c>
      <c r="L169" s="39">
        <f t="shared" si="56"/>
        <v>6400</v>
      </c>
      <c r="M169" s="39">
        <f t="shared" si="56"/>
        <v>56400</v>
      </c>
      <c r="N169" s="39">
        <f t="shared" si="56"/>
        <v>31400</v>
      </c>
      <c r="O169" s="39">
        <f t="shared" si="56"/>
        <v>16400</v>
      </c>
      <c r="P169" s="39">
        <f t="shared" si="56"/>
        <v>6400</v>
      </c>
      <c r="Q169" s="39">
        <f t="shared" si="56"/>
        <v>6400</v>
      </c>
      <c r="R169" s="39">
        <f t="shared" si="56"/>
        <v>488200</v>
      </c>
      <c r="S169" s="39">
        <f t="shared" si="56"/>
        <v>573200</v>
      </c>
      <c r="T169" s="39">
        <f t="shared" si="56"/>
        <v>6700</v>
      </c>
      <c r="U169" s="24">
        <f>I169+J169+K169+L169+M169+N169+O169+P169+Q169+R169+S169+T169</f>
        <v>1210700</v>
      </c>
    </row>
    <row r="170" spans="1:21" ht="13.5" customHeight="1">
      <c r="A170" s="5"/>
      <c r="B170" s="43"/>
      <c r="C170" s="122"/>
      <c r="D170" s="123"/>
      <c r="E170" s="123"/>
      <c r="F170" s="123"/>
      <c r="G170" s="44"/>
      <c r="H170" s="77"/>
      <c r="I170" s="77"/>
      <c r="J170" s="77"/>
      <c r="K170" s="77"/>
      <c r="L170" s="77"/>
      <c r="M170" s="77"/>
      <c r="N170" s="77"/>
      <c r="O170" s="77"/>
      <c r="P170" s="77"/>
      <c r="Q170" s="77"/>
      <c r="R170" s="77"/>
      <c r="S170" s="77"/>
      <c r="T170" s="77"/>
      <c r="U170" s="24"/>
    </row>
    <row r="171" spans="1:21" ht="120" customHeight="1">
      <c r="A171" s="5" t="s">
        <v>42</v>
      </c>
      <c r="B171" s="35" t="s">
        <v>137</v>
      </c>
      <c r="C171" s="148" t="s">
        <v>24</v>
      </c>
      <c r="D171" s="161">
        <v>6410000000</v>
      </c>
      <c r="E171" s="166"/>
      <c r="F171" s="166"/>
      <c r="G171" s="37"/>
      <c r="H171" s="39">
        <f>H172</f>
        <v>10000</v>
      </c>
      <c r="I171" s="39">
        <f aca="true" t="shared" si="57" ref="I171:T171">I172</f>
        <v>0</v>
      </c>
      <c r="J171" s="39">
        <f t="shared" si="57"/>
        <v>0</v>
      </c>
      <c r="K171" s="39">
        <f t="shared" si="57"/>
        <v>0</v>
      </c>
      <c r="L171" s="39">
        <f t="shared" si="57"/>
        <v>0</v>
      </c>
      <c r="M171" s="39">
        <f t="shared" si="57"/>
        <v>0</v>
      </c>
      <c r="N171" s="39">
        <f t="shared" si="57"/>
        <v>0</v>
      </c>
      <c r="O171" s="39">
        <f t="shared" si="57"/>
        <v>10000</v>
      </c>
      <c r="P171" s="39">
        <f t="shared" si="57"/>
        <v>0</v>
      </c>
      <c r="Q171" s="39">
        <f t="shared" si="57"/>
        <v>0</v>
      </c>
      <c r="R171" s="39">
        <f t="shared" si="57"/>
        <v>0</v>
      </c>
      <c r="S171" s="39">
        <f t="shared" si="57"/>
        <v>0</v>
      </c>
      <c r="T171" s="39">
        <f t="shared" si="57"/>
        <v>0</v>
      </c>
      <c r="U171" s="24">
        <f>I171+J171+K171+L171+M171+N171+O171+P171+Q171+R171+S171+T171</f>
        <v>10000</v>
      </c>
    </row>
    <row r="172" spans="1:21" ht="21" customHeight="1">
      <c r="A172" s="5" t="s">
        <v>42</v>
      </c>
      <c r="B172" s="47" t="s">
        <v>15</v>
      </c>
      <c r="C172" s="170" t="s">
        <v>24</v>
      </c>
      <c r="D172" s="171">
        <v>6410110180</v>
      </c>
      <c r="E172" s="171">
        <v>414</v>
      </c>
      <c r="F172" s="171">
        <v>226</v>
      </c>
      <c r="G172" s="50"/>
      <c r="H172" s="52">
        <v>10000</v>
      </c>
      <c r="I172" s="78">
        <v>0</v>
      </c>
      <c r="J172" s="78">
        <v>0</v>
      </c>
      <c r="K172" s="78">
        <v>0</v>
      </c>
      <c r="L172" s="78">
        <v>0</v>
      </c>
      <c r="M172" s="78">
        <v>0</v>
      </c>
      <c r="N172" s="78">
        <v>0</v>
      </c>
      <c r="O172" s="78">
        <v>10000</v>
      </c>
      <c r="P172" s="78">
        <v>0</v>
      </c>
      <c r="Q172" s="78">
        <v>0</v>
      </c>
      <c r="R172" s="78">
        <v>0</v>
      </c>
      <c r="S172" s="78">
        <v>0</v>
      </c>
      <c r="T172" s="78">
        <v>0</v>
      </c>
      <c r="U172" s="24">
        <f>I172+J172+K172+L172+M172+N172+O172+P172+Q172+R172+S172+T172</f>
        <v>10000</v>
      </c>
    </row>
    <row r="173" spans="1:21" ht="14.25" customHeight="1">
      <c r="A173" s="5"/>
      <c r="B173" s="71"/>
      <c r="C173" s="122"/>
      <c r="D173" s="123"/>
      <c r="E173" s="123"/>
      <c r="F173" s="123"/>
      <c r="G173" s="44"/>
      <c r="H173" s="77"/>
      <c r="I173" s="77"/>
      <c r="J173" s="77"/>
      <c r="K173" s="77"/>
      <c r="L173" s="77"/>
      <c r="M173" s="77"/>
      <c r="N173" s="77"/>
      <c r="O173" s="77"/>
      <c r="P173" s="77"/>
      <c r="Q173" s="77"/>
      <c r="R173" s="77"/>
      <c r="S173" s="77"/>
      <c r="T173" s="77"/>
      <c r="U173" s="24"/>
    </row>
    <row r="174" spans="1:21" ht="69.75" customHeight="1">
      <c r="A174" s="5" t="s">
        <v>42</v>
      </c>
      <c r="B174" s="35" t="s">
        <v>139</v>
      </c>
      <c r="C174" s="148" t="s">
        <v>24</v>
      </c>
      <c r="D174" s="161">
        <v>6420000000</v>
      </c>
      <c r="E174" s="161"/>
      <c r="F174" s="161"/>
      <c r="G174" s="37"/>
      <c r="H174" s="39">
        <f>H175+H176</f>
        <v>127100</v>
      </c>
      <c r="I174" s="39">
        <f aca="true" t="shared" si="58" ref="I174:T174">I175+I176</f>
        <v>6400</v>
      </c>
      <c r="J174" s="39">
        <f t="shared" si="58"/>
        <v>6400</v>
      </c>
      <c r="K174" s="39">
        <f t="shared" si="58"/>
        <v>6400</v>
      </c>
      <c r="L174" s="39">
        <f t="shared" si="58"/>
        <v>6400</v>
      </c>
      <c r="M174" s="39">
        <f t="shared" si="58"/>
        <v>6400</v>
      </c>
      <c r="N174" s="39">
        <f t="shared" si="58"/>
        <v>31400</v>
      </c>
      <c r="O174" s="39">
        <f t="shared" si="58"/>
        <v>6400</v>
      </c>
      <c r="P174" s="39">
        <f t="shared" si="58"/>
        <v>6400</v>
      </c>
      <c r="Q174" s="39">
        <f t="shared" si="58"/>
        <v>6400</v>
      </c>
      <c r="R174" s="39">
        <f t="shared" si="58"/>
        <v>6400</v>
      </c>
      <c r="S174" s="39">
        <f t="shared" si="58"/>
        <v>31400</v>
      </c>
      <c r="T174" s="39">
        <f t="shared" si="58"/>
        <v>6700</v>
      </c>
      <c r="U174" s="24">
        <f aca="true" t="shared" si="59" ref="U174:U185">I174+J174+K174+L174+M174+N174+O174+P174+Q174+R174+S174+T174</f>
        <v>127100</v>
      </c>
    </row>
    <row r="175" spans="1:21" ht="25.5">
      <c r="A175" s="5" t="s">
        <v>42</v>
      </c>
      <c r="B175" s="72" t="s">
        <v>71</v>
      </c>
      <c r="C175" s="170" t="s">
        <v>24</v>
      </c>
      <c r="D175" s="171">
        <v>6420110150</v>
      </c>
      <c r="E175" s="171">
        <v>244</v>
      </c>
      <c r="F175" s="171">
        <v>225</v>
      </c>
      <c r="G175" s="50"/>
      <c r="H175" s="78">
        <v>77100</v>
      </c>
      <c r="I175" s="78">
        <v>6400</v>
      </c>
      <c r="J175" s="78">
        <v>6400</v>
      </c>
      <c r="K175" s="78">
        <v>6400</v>
      </c>
      <c r="L175" s="78">
        <v>6400</v>
      </c>
      <c r="M175" s="78">
        <v>6400</v>
      </c>
      <c r="N175" s="78">
        <v>6400</v>
      </c>
      <c r="O175" s="78">
        <v>6400</v>
      </c>
      <c r="P175" s="78">
        <v>6400</v>
      </c>
      <c r="Q175" s="78">
        <v>6400</v>
      </c>
      <c r="R175" s="78">
        <v>6400</v>
      </c>
      <c r="S175" s="78">
        <v>6400</v>
      </c>
      <c r="T175" s="78">
        <v>6700</v>
      </c>
      <c r="U175" s="24">
        <f t="shared" si="59"/>
        <v>77100</v>
      </c>
    </row>
    <row r="176" spans="1:21" ht="17.25" customHeight="1">
      <c r="A176" s="5" t="s">
        <v>42</v>
      </c>
      <c r="B176" s="47" t="s">
        <v>15</v>
      </c>
      <c r="C176" s="170" t="s">
        <v>24</v>
      </c>
      <c r="D176" s="171">
        <v>6420110150</v>
      </c>
      <c r="E176" s="171">
        <v>414</v>
      </c>
      <c r="F176" s="171">
        <v>226</v>
      </c>
      <c r="G176" s="50"/>
      <c r="H176" s="78">
        <v>50000</v>
      </c>
      <c r="I176" s="78">
        <v>0</v>
      </c>
      <c r="J176" s="77">
        <v>0</v>
      </c>
      <c r="K176" s="78">
        <v>0</v>
      </c>
      <c r="L176" s="78">
        <v>0</v>
      </c>
      <c r="M176" s="78">
        <v>0</v>
      </c>
      <c r="N176" s="78">
        <v>25000</v>
      </c>
      <c r="O176" s="78">
        <v>0</v>
      </c>
      <c r="P176" s="78">
        <v>0</v>
      </c>
      <c r="Q176" s="78">
        <v>0</v>
      </c>
      <c r="R176" s="78">
        <v>0</v>
      </c>
      <c r="S176" s="78">
        <v>25000</v>
      </c>
      <c r="T176" s="78">
        <v>0</v>
      </c>
      <c r="U176" s="24">
        <f t="shared" si="59"/>
        <v>50000</v>
      </c>
    </row>
    <row r="177" spans="1:21" ht="12.75">
      <c r="A177" s="42"/>
      <c r="B177" s="66"/>
      <c r="C177" s="123"/>
      <c r="D177" s="123"/>
      <c r="E177" s="123"/>
      <c r="F177" s="123"/>
      <c r="G177" s="44"/>
      <c r="H177" s="81"/>
      <c r="I177" s="81"/>
      <c r="J177" s="81"/>
      <c r="K177" s="81"/>
      <c r="L177" s="81"/>
      <c r="M177" s="81"/>
      <c r="N177" s="81"/>
      <c r="O177" s="81"/>
      <c r="P177" s="81"/>
      <c r="Q177" s="81"/>
      <c r="R177" s="81"/>
      <c r="S177" s="81"/>
      <c r="T177" s="81"/>
      <c r="U177" s="24">
        <f t="shared" si="59"/>
        <v>0</v>
      </c>
    </row>
    <row r="178" spans="1:21" ht="73.5" customHeight="1">
      <c r="A178" s="5" t="s">
        <v>42</v>
      </c>
      <c r="B178" s="35" t="s">
        <v>140</v>
      </c>
      <c r="C178" s="148" t="s">
        <v>24</v>
      </c>
      <c r="D178" s="161">
        <v>6430000000</v>
      </c>
      <c r="E178" s="161"/>
      <c r="F178" s="161"/>
      <c r="G178" s="37"/>
      <c r="H178" s="39">
        <f aca="true" t="shared" si="60" ref="H178:T178">H179</f>
        <v>30000</v>
      </c>
      <c r="I178" s="39">
        <f t="shared" si="60"/>
        <v>0</v>
      </c>
      <c r="J178" s="39">
        <f t="shared" si="60"/>
        <v>0</v>
      </c>
      <c r="K178" s="39">
        <f t="shared" si="60"/>
        <v>0</v>
      </c>
      <c r="L178" s="39">
        <f t="shared" si="60"/>
        <v>0</v>
      </c>
      <c r="M178" s="39">
        <f t="shared" si="60"/>
        <v>0</v>
      </c>
      <c r="N178" s="39">
        <f t="shared" si="60"/>
        <v>0</v>
      </c>
      <c r="O178" s="39">
        <f t="shared" si="60"/>
        <v>0</v>
      </c>
      <c r="P178" s="39">
        <f t="shared" si="60"/>
        <v>0</v>
      </c>
      <c r="Q178" s="39">
        <f t="shared" si="60"/>
        <v>0</v>
      </c>
      <c r="R178" s="39">
        <f t="shared" si="60"/>
        <v>0</v>
      </c>
      <c r="S178" s="39">
        <f t="shared" si="60"/>
        <v>30000</v>
      </c>
      <c r="T178" s="39">
        <f t="shared" si="60"/>
        <v>0</v>
      </c>
      <c r="U178" s="24">
        <f t="shared" si="59"/>
        <v>30000</v>
      </c>
    </row>
    <row r="179" spans="1:21" ht="25.5">
      <c r="A179" s="5" t="s">
        <v>42</v>
      </c>
      <c r="B179" s="72" t="s">
        <v>71</v>
      </c>
      <c r="C179" s="170" t="s">
        <v>24</v>
      </c>
      <c r="D179" s="171">
        <v>6430110200</v>
      </c>
      <c r="E179" s="171">
        <v>244</v>
      </c>
      <c r="F179" s="171">
        <v>225</v>
      </c>
      <c r="G179" s="44"/>
      <c r="H179" s="78">
        <v>30000</v>
      </c>
      <c r="I179" s="78">
        <v>0</v>
      </c>
      <c r="J179" s="78">
        <v>0</v>
      </c>
      <c r="K179" s="78">
        <v>0</v>
      </c>
      <c r="L179" s="78">
        <v>0</v>
      </c>
      <c r="M179" s="78">
        <v>0</v>
      </c>
      <c r="N179" s="78">
        <v>0</v>
      </c>
      <c r="O179" s="78">
        <v>0</v>
      </c>
      <c r="P179" s="78">
        <v>0</v>
      </c>
      <c r="Q179" s="78">
        <v>0</v>
      </c>
      <c r="R179" s="78">
        <v>0</v>
      </c>
      <c r="S179" s="78">
        <v>30000</v>
      </c>
      <c r="T179" s="78">
        <v>0</v>
      </c>
      <c r="U179" s="24">
        <f t="shared" si="59"/>
        <v>30000</v>
      </c>
    </row>
    <row r="180" spans="1:21" ht="12.75">
      <c r="A180" s="42"/>
      <c r="B180" s="66"/>
      <c r="C180" s="123"/>
      <c r="D180" s="123"/>
      <c r="E180" s="123"/>
      <c r="F180" s="123"/>
      <c r="G180" s="44"/>
      <c r="H180" s="81"/>
      <c r="I180" s="81"/>
      <c r="J180" s="81"/>
      <c r="K180" s="81"/>
      <c r="L180" s="81"/>
      <c r="M180" s="81"/>
      <c r="N180" s="81"/>
      <c r="O180" s="81"/>
      <c r="P180" s="81"/>
      <c r="Q180" s="81"/>
      <c r="R180" s="81"/>
      <c r="S180" s="81"/>
      <c r="T180" s="81"/>
      <c r="U180" s="24">
        <f t="shared" si="59"/>
        <v>0</v>
      </c>
    </row>
    <row r="181" spans="1:21" ht="69" customHeight="1">
      <c r="A181" s="5" t="s">
        <v>42</v>
      </c>
      <c r="B181" s="35" t="s">
        <v>141</v>
      </c>
      <c r="C181" s="148" t="s">
        <v>24</v>
      </c>
      <c r="D181" s="161">
        <v>6440000000</v>
      </c>
      <c r="E181" s="161"/>
      <c r="F181" s="161"/>
      <c r="G181" s="37"/>
      <c r="H181" s="39">
        <f aca="true" t="shared" si="61" ref="H181:T181">H182</f>
        <v>30000</v>
      </c>
      <c r="I181" s="39">
        <f t="shared" si="61"/>
        <v>0</v>
      </c>
      <c r="J181" s="39">
        <f t="shared" si="61"/>
        <v>0</v>
      </c>
      <c r="K181" s="39">
        <f t="shared" si="61"/>
        <v>0</v>
      </c>
      <c r="L181" s="39">
        <f t="shared" si="61"/>
        <v>0</v>
      </c>
      <c r="M181" s="39">
        <f t="shared" si="61"/>
        <v>0</v>
      </c>
      <c r="N181" s="39">
        <f t="shared" si="61"/>
        <v>0</v>
      </c>
      <c r="O181" s="39">
        <f t="shared" si="61"/>
        <v>0</v>
      </c>
      <c r="P181" s="39">
        <f t="shared" si="61"/>
        <v>0</v>
      </c>
      <c r="Q181" s="39">
        <f t="shared" si="61"/>
        <v>0</v>
      </c>
      <c r="R181" s="39">
        <f t="shared" si="61"/>
        <v>0</v>
      </c>
      <c r="S181" s="39">
        <f t="shared" si="61"/>
        <v>30000</v>
      </c>
      <c r="T181" s="39">
        <f t="shared" si="61"/>
        <v>0</v>
      </c>
      <c r="U181" s="24">
        <f t="shared" si="59"/>
        <v>30000</v>
      </c>
    </row>
    <row r="182" spans="1:21" ht="25.5">
      <c r="A182" s="5" t="s">
        <v>42</v>
      </c>
      <c r="B182" s="72" t="s">
        <v>71</v>
      </c>
      <c r="C182" s="170" t="s">
        <v>24</v>
      </c>
      <c r="D182" s="171">
        <v>6440110210</v>
      </c>
      <c r="E182" s="171">
        <v>244</v>
      </c>
      <c r="F182" s="171">
        <v>225</v>
      </c>
      <c r="G182" s="44"/>
      <c r="H182" s="78">
        <v>30000</v>
      </c>
      <c r="I182" s="78">
        <v>0</v>
      </c>
      <c r="J182" s="78">
        <v>0</v>
      </c>
      <c r="K182" s="78">
        <v>0</v>
      </c>
      <c r="L182" s="78">
        <v>0</v>
      </c>
      <c r="M182" s="78">
        <v>0</v>
      </c>
      <c r="N182" s="78">
        <v>0</v>
      </c>
      <c r="O182" s="78">
        <v>0</v>
      </c>
      <c r="P182" s="78">
        <v>0</v>
      </c>
      <c r="Q182" s="78">
        <v>0</v>
      </c>
      <c r="R182" s="78">
        <v>0</v>
      </c>
      <c r="S182" s="78">
        <v>30000</v>
      </c>
      <c r="T182" s="78">
        <v>0</v>
      </c>
      <c r="U182" s="24">
        <f t="shared" si="59"/>
        <v>30000</v>
      </c>
    </row>
    <row r="183" spans="1:21" ht="15.75" customHeight="1">
      <c r="A183" s="42"/>
      <c r="B183" s="66"/>
      <c r="C183" s="123"/>
      <c r="D183" s="123"/>
      <c r="E183" s="123"/>
      <c r="F183" s="123"/>
      <c r="G183" s="44"/>
      <c r="H183" s="81"/>
      <c r="I183" s="81"/>
      <c r="J183" s="81"/>
      <c r="K183" s="81"/>
      <c r="L183" s="81"/>
      <c r="M183" s="81"/>
      <c r="N183" s="81"/>
      <c r="O183" s="81"/>
      <c r="P183" s="81"/>
      <c r="Q183" s="81"/>
      <c r="R183" s="81"/>
      <c r="S183" s="81"/>
      <c r="T183" s="81"/>
      <c r="U183" s="24">
        <f t="shared" si="59"/>
        <v>0</v>
      </c>
    </row>
    <row r="184" spans="1:21" ht="165" customHeight="1">
      <c r="A184" s="5" t="s">
        <v>42</v>
      </c>
      <c r="B184" s="35" t="s">
        <v>142</v>
      </c>
      <c r="C184" s="148" t="s">
        <v>24</v>
      </c>
      <c r="D184" s="161">
        <v>6450000000</v>
      </c>
      <c r="E184" s="161"/>
      <c r="F184" s="161"/>
      <c r="G184" s="37"/>
      <c r="H184" s="39">
        <f aca="true" t="shared" si="62" ref="H184:T184">H185</f>
        <v>863600</v>
      </c>
      <c r="I184" s="39">
        <f t="shared" si="62"/>
        <v>0</v>
      </c>
      <c r="J184" s="39">
        <f t="shared" si="62"/>
        <v>0</v>
      </c>
      <c r="K184" s="39">
        <f t="shared" si="62"/>
        <v>0</v>
      </c>
      <c r="L184" s="39">
        <f t="shared" si="62"/>
        <v>0</v>
      </c>
      <c r="M184" s="39">
        <f t="shared" si="62"/>
        <v>0</v>
      </c>
      <c r="N184" s="39">
        <f t="shared" si="62"/>
        <v>0</v>
      </c>
      <c r="O184" s="39">
        <f t="shared" si="62"/>
        <v>0</v>
      </c>
      <c r="P184" s="39">
        <f t="shared" si="62"/>
        <v>0</v>
      </c>
      <c r="Q184" s="39">
        <f t="shared" si="62"/>
        <v>0</v>
      </c>
      <c r="R184" s="39">
        <f t="shared" si="62"/>
        <v>431800</v>
      </c>
      <c r="S184" s="39">
        <f t="shared" si="62"/>
        <v>431800</v>
      </c>
      <c r="T184" s="39">
        <f t="shared" si="62"/>
        <v>0</v>
      </c>
      <c r="U184" s="24">
        <f t="shared" si="59"/>
        <v>863600</v>
      </c>
    </row>
    <row r="185" spans="1:21" ht="12.75">
      <c r="A185" s="5" t="s">
        <v>42</v>
      </c>
      <c r="B185" s="47" t="s">
        <v>15</v>
      </c>
      <c r="C185" s="170" t="s">
        <v>24</v>
      </c>
      <c r="D185" s="171">
        <v>6450110220</v>
      </c>
      <c r="E185" s="171">
        <v>414</v>
      </c>
      <c r="F185" s="171">
        <v>226</v>
      </c>
      <c r="G185" s="44"/>
      <c r="H185" s="78">
        <v>863600</v>
      </c>
      <c r="I185" s="78">
        <v>0</v>
      </c>
      <c r="J185" s="78">
        <v>0</v>
      </c>
      <c r="K185" s="78">
        <v>0</v>
      </c>
      <c r="L185" s="78">
        <v>0</v>
      </c>
      <c r="M185" s="78">
        <v>0</v>
      </c>
      <c r="N185" s="78">
        <v>0</v>
      </c>
      <c r="O185" s="78">
        <v>0</v>
      </c>
      <c r="P185" s="78">
        <v>0</v>
      </c>
      <c r="Q185" s="78">
        <v>0</v>
      </c>
      <c r="R185" s="78">
        <v>431800</v>
      </c>
      <c r="S185" s="78">
        <v>431800</v>
      </c>
      <c r="T185" s="78">
        <v>0</v>
      </c>
      <c r="U185" s="24">
        <f t="shared" si="59"/>
        <v>863600</v>
      </c>
    </row>
    <row r="186" spans="1:21" ht="12.75">
      <c r="A186" s="42"/>
      <c r="B186" s="66"/>
      <c r="C186" s="123"/>
      <c r="D186" s="123"/>
      <c r="E186" s="123"/>
      <c r="F186" s="123"/>
      <c r="G186" s="44"/>
      <c r="H186" s="81"/>
      <c r="I186" s="81"/>
      <c r="J186" s="81"/>
      <c r="K186" s="81"/>
      <c r="L186" s="81"/>
      <c r="M186" s="81"/>
      <c r="N186" s="81"/>
      <c r="O186" s="81"/>
      <c r="P186" s="81"/>
      <c r="Q186" s="81"/>
      <c r="R186" s="81"/>
      <c r="S186" s="81"/>
      <c r="T186" s="81"/>
      <c r="U186" s="24"/>
    </row>
    <row r="187" spans="1:21" ht="76.5">
      <c r="A187" s="5" t="s">
        <v>42</v>
      </c>
      <c r="B187" s="35" t="s">
        <v>143</v>
      </c>
      <c r="C187" s="148" t="s">
        <v>24</v>
      </c>
      <c r="D187" s="161">
        <v>6460000000</v>
      </c>
      <c r="E187" s="161"/>
      <c r="F187" s="161"/>
      <c r="G187" s="37"/>
      <c r="H187" s="39">
        <f aca="true" t="shared" si="63" ref="H187:T187">H188</f>
        <v>150000</v>
      </c>
      <c r="I187" s="39">
        <f t="shared" si="63"/>
        <v>0</v>
      </c>
      <c r="J187" s="39">
        <f t="shared" si="63"/>
        <v>0</v>
      </c>
      <c r="K187" s="39">
        <f t="shared" si="63"/>
        <v>0</v>
      </c>
      <c r="L187" s="39">
        <f t="shared" si="63"/>
        <v>0</v>
      </c>
      <c r="M187" s="39">
        <f t="shared" si="63"/>
        <v>50000</v>
      </c>
      <c r="N187" s="39">
        <f t="shared" si="63"/>
        <v>0</v>
      </c>
      <c r="O187" s="39">
        <f t="shared" si="63"/>
        <v>0</v>
      </c>
      <c r="P187" s="39">
        <f t="shared" si="63"/>
        <v>0</v>
      </c>
      <c r="Q187" s="39">
        <f t="shared" si="63"/>
        <v>0</v>
      </c>
      <c r="R187" s="39">
        <f t="shared" si="63"/>
        <v>50000</v>
      </c>
      <c r="S187" s="39">
        <f t="shared" si="63"/>
        <v>50000</v>
      </c>
      <c r="T187" s="39">
        <f t="shared" si="63"/>
        <v>0</v>
      </c>
      <c r="U187" s="24">
        <f>I187+J187+K187+L187+M187+N187+O187+P187+Q187+R187+S187+T187</f>
        <v>150000</v>
      </c>
    </row>
    <row r="188" spans="1:21" ht="12.75">
      <c r="A188" s="5" t="s">
        <v>42</v>
      </c>
      <c r="B188" s="47" t="s">
        <v>15</v>
      </c>
      <c r="C188" s="170" t="s">
        <v>24</v>
      </c>
      <c r="D188" s="171">
        <v>6460110230</v>
      </c>
      <c r="E188" s="171">
        <v>414</v>
      </c>
      <c r="F188" s="171">
        <v>226</v>
      </c>
      <c r="G188" s="44"/>
      <c r="H188" s="78">
        <v>150000</v>
      </c>
      <c r="I188" s="78">
        <v>0</v>
      </c>
      <c r="J188" s="78">
        <v>0</v>
      </c>
      <c r="K188" s="78">
        <v>0</v>
      </c>
      <c r="L188" s="78">
        <v>0</v>
      </c>
      <c r="M188" s="78">
        <v>50000</v>
      </c>
      <c r="N188" s="78">
        <v>0</v>
      </c>
      <c r="O188" s="78">
        <v>0</v>
      </c>
      <c r="P188" s="78">
        <v>0</v>
      </c>
      <c r="Q188" s="78">
        <v>0</v>
      </c>
      <c r="R188" s="78">
        <v>50000</v>
      </c>
      <c r="S188" s="78">
        <v>50000</v>
      </c>
      <c r="T188" s="78">
        <v>0</v>
      </c>
      <c r="U188" s="24">
        <f>I188+J188+K188+L188+M188+N188+O188+P188+Q188+R188+S188+T188</f>
        <v>150000</v>
      </c>
    </row>
    <row r="189" spans="1:21" ht="12.75">
      <c r="A189" s="42"/>
      <c r="B189" s="66"/>
      <c r="C189" s="123"/>
      <c r="D189" s="123"/>
      <c r="E189" s="123"/>
      <c r="F189" s="123"/>
      <c r="G189" s="44"/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24"/>
    </row>
    <row r="190" spans="1:21" ht="12.75">
      <c r="A190" s="42"/>
      <c r="B190" s="29" t="s">
        <v>53</v>
      </c>
      <c r="C190" s="180" t="s">
        <v>24</v>
      </c>
      <c r="D190" s="123"/>
      <c r="E190" s="123"/>
      <c r="F190" s="123"/>
      <c r="G190" s="44"/>
      <c r="H190" s="74">
        <f aca="true" t="shared" si="64" ref="H190:T190">H169</f>
        <v>1210700</v>
      </c>
      <c r="I190" s="75">
        <f t="shared" si="64"/>
        <v>6400</v>
      </c>
      <c r="J190" s="75">
        <f t="shared" si="64"/>
        <v>6400</v>
      </c>
      <c r="K190" s="75">
        <f t="shared" si="64"/>
        <v>6400</v>
      </c>
      <c r="L190" s="75">
        <f t="shared" si="64"/>
        <v>6400</v>
      </c>
      <c r="M190" s="75">
        <f t="shared" si="64"/>
        <v>56400</v>
      </c>
      <c r="N190" s="75">
        <f t="shared" si="64"/>
        <v>31400</v>
      </c>
      <c r="O190" s="75">
        <f t="shared" si="64"/>
        <v>16400</v>
      </c>
      <c r="P190" s="75">
        <f t="shared" si="64"/>
        <v>6400</v>
      </c>
      <c r="Q190" s="75">
        <f t="shared" si="64"/>
        <v>6400</v>
      </c>
      <c r="R190" s="75">
        <f t="shared" si="64"/>
        <v>488200</v>
      </c>
      <c r="S190" s="75">
        <f t="shared" si="64"/>
        <v>573200</v>
      </c>
      <c r="T190" s="75">
        <f t="shared" si="64"/>
        <v>6700</v>
      </c>
      <c r="U190" s="24">
        <f>I190+J190+K190+L190+M190+N190+O190+P190+Q190+R190+S190+T190</f>
        <v>1210700</v>
      </c>
    </row>
    <row r="191" spans="1:21" ht="12.75">
      <c r="A191" s="42"/>
      <c r="B191" s="66"/>
      <c r="C191" s="123"/>
      <c r="D191" s="123"/>
      <c r="E191" s="123"/>
      <c r="F191" s="123"/>
      <c r="G191" s="44"/>
      <c r="H191" s="81"/>
      <c r="I191" s="81"/>
      <c r="J191" s="81"/>
      <c r="K191" s="81"/>
      <c r="L191" s="81"/>
      <c r="M191" s="81"/>
      <c r="N191" s="81"/>
      <c r="O191" s="81"/>
      <c r="P191" s="81"/>
      <c r="Q191" s="81"/>
      <c r="R191" s="81"/>
      <c r="S191" s="81"/>
      <c r="T191" s="81"/>
      <c r="U191" s="24"/>
    </row>
    <row r="192" spans="1:21" ht="83.25" customHeight="1">
      <c r="A192" s="5" t="s">
        <v>42</v>
      </c>
      <c r="B192" s="35" t="s">
        <v>138</v>
      </c>
      <c r="C192" s="148" t="s">
        <v>25</v>
      </c>
      <c r="D192" s="161">
        <v>6400000000</v>
      </c>
      <c r="E192" s="117"/>
      <c r="F192" s="117"/>
      <c r="G192" s="37"/>
      <c r="H192" s="39">
        <f>H194+H200</f>
        <v>1605500</v>
      </c>
      <c r="I192" s="39">
        <f aca="true" t="shared" si="65" ref="I192:T192">I194+I200</f>
        <v>45550</v>
      </c>
      <c r="J192" s="39">
        <f t="shared" si="65"/>
        <v>49700</v>
      </c>
      <c r="K192" s="39">
        <f t="shared" si="65"/>
        <v>80000</v>
      </c>
      <c r="L192" s="39">
        <f t="shared" si="65"/>
        <v>139000</v>
      </c>
      <c r="M192" s="39">
        <f t="shared" si="65"/>
        <v>80000</v>
      </c>
      <c r="N192" s="39">
        <f t="shared" si="65"/>
        <v>81250</v>
      </c>
      <c r="O192" s="39">
        <f t="shared" si="65"/>
        <v>95000</v>
      </c>
      <c r="P192" s="39">
        <f t="shared" si="65"/>
        <v>125000</v>
      </c>
      <c r="Q192" s="39">
        <f t="shared" si="65"/>
        <v>110000</v>
      </c>
      <c r="R192" s="39">
        <f t="shared" si="65"/>
        <v>200000</v>
      </c>
      <c r="S192" s="39">
        <f t="shared" si="65"/>
        <v>250000</v>
      </c>
      <c r="T192" s="39">
        <f t="shared" si="65"/>
        <v>350000</v>
      </c>
      <c r="U192" s="24">
        <f>I192+J192+K192+L192+M192+N192+O192+P192+Q192+R192+S192+T192</f>
        <v>1605500</v>
      </c>
    </row>
    <row r="193" spans="1:21" ht="12.75">
      <c r="A193" s="42"/>
      <c r="B193" s="66"/>
      <c r="C193" s="123"/>
      <c r="D193" s="123"/>
      <c r="E193" s="123"/>
      <c r="F193" s="123"/>
      <c r="G193" s="44"/>
      <c r="H193" s="81"/>
      <c r="I193" s="81"/>
      <c r="J193" s="81"/>
      <c r="K193" s="81"/>
      <c r="L193" s="81"/>
      <c r="M193" s="81"/>
      <c r="N193" s="81"/>
      <c r="O193" s="81"/>
      <c r="P193" s="81"/>
      <c r="Q193" s="81"/>
      <c r="R193" s="81"/>
      <c r="S193" s="81"/>
      <c r="T193" s="81"/>
      <c r="U193" s="24"/>
    </row>
    <row r="194" spans="1:21" ht="75" customHeight="1">
      <c r="A194" s="5" t="s">
        <v>42</v>
      </c>
      <c r="B194" s="35" t="s">
        <v>144</v>
      </c>
      <c r="C194" s="148" t="s">
        <v>25</v>
      </c>
      <c r="D194" s="161">
        <v>6470000000</v>
      </c>
      <c r="E194" s="161"/>
      <c r="F194" s="161"/>
      <c r="G194" s="37"/>
      <c r="H194" s="39">
        <f>H195+H196+H197+H198</f>
        <v>1305500</v>
      </c>
      <c r="I194" s="39">
        <f aca="true" t="shared" si="66" ref="I194:T194">I195+I196+I197+I198</f>
        <v>45550</v>
      </c>
      <c r="J194" s="39">
        <f t="shared" si="66"/>
        <v>49700</v>
      </c>
      <c r="K194" s="39">
        <f t="shared" si="66"/>
        <v>80000</v>
      </c>
      <c r="L194" s="39">
        <f t="shared" si="66"/>
        <v>89000</v>
      </c>
      <c r="M194" s="39">
        <f t="shared" si="66"/>
        <v>80000</v>
      </c>
      <c r="N194" s="39">
        <f t="shared" si="66"/>
        <v>81250</v>
      </c>
      <c r="O194" s="39">
        <f t="shared" si="66"/>
        <v>95000</v>
      </c>
      <c r="P194" s="39">
        <f t="shared" si="66"/>
        <v>125000</v>
      </c>
      <c r="Q194" s="39">
        <f t="shared" si="66"/>
        <v>110000</v>
      </c>
      <c r="R194" s="39">
        <f t="shared" si="66"/>
        <v>200000</v>
      </c>
      <c r="S194" s="39">
        <f t="shared" si="66"/>
        <v>150000</v>
      </c>
      <c r="T194" s="39">
        <f t="shared" si="66"/>
        <v>200000</v>
      </c>
      <c r="U194" s="24">
        <f>I194+J194+K194+L194+M194+N194+O194+P194+Q194+R194+S194+T194</f>
        <v>1305500</v>
      </c>
    </row>
    <row r="195" spans="1:21" ht="25.5">
      <c r="A195" s="5" t="s">
        <v>42</v>
      </c>
      <c r="B195" s="72" t="s">
        <v>71</v>
      </c>
      <c r="C195" s="170" t="s">
        <v>25</v>
      </c>
      <c r="D195" s="171">
        <v>6470110240</v>
      </c>
      <c r="E195" s="171">
        <v>244</v>
      </c>
      <c r="F195" s="171">
        <v>225</v>
      </c>
      <c r="G195" s="44"/>
      <c r="H195" s="52">
        <v>1305500</v>
      </c>
      <c r="I195" s="78">
        <v>45550</v>
      </c>
      <c r="J195" s="78">
        <v>49700</v>
      </c>
      <c r="K195" s="78">
        <v>80000</v>
      </c>
      <c r="L195" s="78">
        <v>89000</v>
      </c>
      <c r="M195" s="78">
        <v>80000</v>
      </c>
      <c r="N195" s="78">
        <v>81250</v>
      </c>
      <c r="O195" s="78">
        <v>95000</v>
      </c>
      <c r="P195" s="78">
        <v>125000</v>
      </c>
      <c r="Q195" s="78">
        <v>110000</v>
      </c>
      <c r="R195" s="78">
        <v>200000</v>
      </c>
      <c r="S195" s="78">
        <v>150000</v>
      </c>
      <c r="T195" s="78">
        <v>200000</v>
      </c>
      <c r="U195" s="24">
        <f>I195+J195+K195+L195+M195+N195+O195+P195+Q195+R195+S195+T195</f>
        <v>1305500</v>
      </c>
    </row>
    <row r="196" spans="1:21" ht="12.75" hidden="1">
      <c r="A196" s="5"/>
      <c r="B196" s="72"/>
      <c r="C196" s="128" t="s">
        <v>25</v>
      </c>
      <c r="D196" s="127">
        <v>6470160020</v>
      </c>
      <c r="E196" s="127">
        <v>244</v>
      </c>
      <c r="F196" s="127">
        <v>225</v>
      </c>
      <c r="G196" s="44"/>
      <c r="H196" s="52">
        <v>0</v>
      </c>
      <c r="I196" s="78">
        <v>0</v>
      </c>
      <c r="J196" s="78">
        <v>0</v>
      </c>
      <c r="K196" s="78">
        <v>0</v>
      </c>
      <c r="L196" s="78">
        <v>0</v>
      </c>
      <c r="M196" s="78">
        <v>0</v>
      </c>
      <c r="N196" s="78">
        <v>0</v>
      </c>
      <c r="O196" s="78">
        <v>0</v>
      </c>
      <c r="P196" s="78">
        <v>0</v>
      </c>
      <c r="Q196" s="78">
        <v>0</v>
      </c>
      <c r="R196" s="78">
        <v>0</v>
      </c>
      <c r="S196" s="78">
        <v>0</v>
      </c>
      <c r="T196" s="78">
        <v>0</v>
      </c>
      <c r="U196" s="24">
        <f aca="true" t="shared" si="67" ref="U196:U218">I196+J196+K196+L196+M196+N196+O196+P196+Q196+R196+S196+T196</f>
        <v>0</v>
      </c>
    </row>
    <row r="197" spans="1:21" ht="12.75" hidden="1">
      <c r="A197" s="5"/>
      <c r="B197" s="72"/>
      <c r="C197" s="128" t="s">
        <v>25</v>
      </c>
      <c r="D197" s="127">
        <v>6470160050</v>
      </c>
      <c r="E197" s="127">
        <v>244</v>
      </c>
      <c r="F197" s="127">
        <v>225</v>
      </c>
      <c r="G197" s="44"/>
      <c r="H197" s="52">
        <v>0</v>
      </c>
      <c r="I197" s="78">
        <v>0</v>
      </c>
      <c r="J197" s="78">
        <v>0</v>
      </c>
      <c r="K197" s="78">
        <v>0</v>
      </c>
      <c r="L197" s="78">
        <v>0</v>
      </c>
      <c r="M197" s="78">
        <v>0</v>
      </c>
      <c r="N197" s="78">
        <v>0</v>
      </c>
      <c r="O197" s="78">
        <v>0</v>
      </c>
      <c r="P197" s="78">
        <v>0</v>
      </c>
      <c r="Q197" s="78">
        <v>0</v>
      </c>
      <c r="R197" s="78">
        <v>0</v>
      </c>
      <c r="S197" s="78">
        <v>0</v>
      </c>
      <c r="T197" s="78">
        <v>0</v>
      </c>
      <c r="U197" s="24">
        <f t="shared" si="67"/>
        <v>0</v>
      </c>
    </row>
    <row r="198" spans="1:21" ht="12.75" hidden="1">
      <c r="A198" s="5"/>
      <c r="B198" s="72"/>
      <c r="C198" s="128" t="s">
        <v>25</v>
      </c>
      <c r="D198" s="127">
        <v>6470160170</v>
      </c>
      <c r="E198" s="127">
        <v>244</v>
      </c>
      <c r="F198" s="127">
        <v>225</v>
      </c>
      <c r="G198" s="44"/>
      <c r="H198" s="52">
        <v>0</v>
      </c>
      <c r="I198" s="78">
        <v>0</v>
      </c>
      <c r="J198" s="78">
        <v>0</v>
      </c>
      <c r="K198" s="78">
        <v>0</v>
      </c>
      <c r="L198" s="78">
        <v>0</v>
      </c>
      <c r="M198" s="78">
        <v>0</v>
      </c>
      <c r="N198" s="78">
        <v>0</v>
      </c>
      <c r="O198" s="78">
        <v>0</v>
      </c>
      <c r="P198" s="78">
        <v>0</v>
      </c>
      <c r="Q198" s="78">
        <v>0</v>
      </c>
      <c r="R198" s="78">
        <v>0</v>
      </c>
      <c r="S198" s="78">
        <v>0</v>
      </c>
      <c r="T198" s="78">
        <v>0</v>
      </c>
      <c r="U198" s="24">
        <f t="shared" si="67"/>
        <v>0</v>
      </c>
    </row>
    <row r="199" spans="1:21" ht="12.75">
      <c r="A199" s="5"/>
      <c r="B199" s="72"/>
      <c r="C199" s="128"/>
      <c r="D199" s="127"/>
      <c r="E199" s="127"/>
      <c r="F199" s="127"/>
      <c r="G199" s="44"/>
      <c r="H199" s="52"/>
      <c r="I199" s="78"/>
      <c r="J199" s="78"/>
      <c r="K199" s="78"/>
      <c r="L199" s="78"/>
      <c r="M199" s="78"/>
      <c r="N199" s="78"/>
      <c r="O199" s="78"/>
      <c r="P199" s="78"/>
      <c r="Q199" s="78"/>
      <c r="R199" s="78"/>
      <c r="S199" s="78"/>
      <c r="T199" s="78"/>
      <c r="U199" s="24">
        <f t="shared" si="67"/>
        <v>0</v>
      </c>
    </row>
    <row r="200" spans="1:21" ht="80.25" customHeight="1">
      <c r="A200" s="5" t="s">
        <v>42</v>
      </c>
      <c r="B200" s="35" t="s">
        <v>145</v>
      </c>
      <c r="C200" s="148" t="s">
        <v>25</v>
      </c>
      <c r="D200" s="161">
        <v>6480110350</v>
      </c>
      <c r="E200" s="161"/>
      <c r="F200" s="161"/>
      <c r="G200" s="37"/>
      <c r="H200" s="39">
        <f>H201</f>
        <v>300000</v>
      </c>
      <c r="I200" s="39">
        <f aca="true" t="shared" si="68" ref="I200:T200">I201</f>
        <v>0</v>
      </c>
      <c r="J200" s="39">
        <f t="shared" si="68"/>
        <v>0</v>
      </c>
      <c r="K200" s="39">
        <f t="shared" si="68"/>
        <v>0</v>
      </c>
      <c r="L200" s="39">
        <f t="shared" si="68"/>
        <v>50000</v>
      </c>
      <c r="M200" s="39">
        <f t="shared" si="68"/>
        <v>0</v>
      </c>
      <c r="N200" s="39">
        <f t="shared" si="68"/>
        <v>0</v>
      </c>
      <c r="O200" s="39">
        <f t="shared" si="68"/>
        <v>0</v>
      </c>
      <c r="P200" s="39">
        <f t="shared" si="68"/>
        <v>0</v>
      </c>
      <c r="Q200" s="39">
        <f t="shared" si="68"/>
        <v>0</v>
      </c>
      <c r="R200" s="39">
        <f t="shared" si="68"/>
        <v>0</v>
      </c>
      <c r="S200" s="39">
        <f t="shared" si="68"/>
        <v>100000</v>
      </c>
      <c r="T200" s="39">
        <f t="shared" si="68"/>
        <v>150000</v>
      </c>
      <c r="U200" s="24">
        <f t="shared" si="67"/>
        <v>300000</v>
      </c>
    </row>
    <row r="201" spans="1:21" ht="16.5" customHeight="1">
      <c r="A201" s="5" t="s">
        <v>42</v>
      </c>
      <c r="B201" s="47" t="s">
        <v>15</v>
      </c>
      <c r="C201" s="170" t="s">
        <v>25</v>
      </c>
      <c r="D201" s="171">
        <v>6480110350</v>
      </c>
      <c r="E201" s="171">
        <v>244</v>
      </c>
      <c r="F201" s="171">
        <v>225</v>
      </c>
      <c r="G201" s="44"/>
      <c r="H201" s="78">
        <v>300000</v>
      </c>
      <c r="I201" s="78">
        <v>0</v>
      </c>
      <c r="J201" s="78">
        <v>0</v>
      </c>
      <c r="K201" s="78">
        <v>0</v>
      </c>
      <c r="L201" s="78">
        <v>50000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100000</v>
      </c>
      <c r="T201" s="78">
        <v>150000</v>
      </c>
      <c r="U201" s="24">
        <f t="shared" si="67"/>
        <v>300000</v>
      </c>
    </row>
    <row r="202" spans="1:21" ht="12.75">
      <c r="A202" s="5"/>
      <c r="B202" s="68"/>
      <c r="C202" s="128"/>
      <c r="D202" s="127"/>
      <c r="E202" s="127"/>
      <c r="F202" s="127"/>
      <c r="G202" s="44"/>
      <c r="H202" s="78"/>
      <c r="I202" s="78"/>
      <c r="J202" s="78"/>
      <c r="K202" s="78"/>
      <c r="L202" s="78"/>
      <c r="M202" s="78"/>
      <c r="N202" s="78"/>
      <c r="O202" s="78"/>
      <c r="P202" s="78"/>
      <c r="Q202" s="78"/>
      <c r="R202" s="78"/>
      <c r="S202" s="78"/>
      <c r="T202" s="78"/>
      <c r="U202" s="24">
        <f t="shared" si="67"/>
        <v>0</v>
      </c>
    </row>
    <row r="203" spans="1:21" ht="81" customHeight="1">
      <c r="A203" s="42" t="s">
        <v>42</v>
      </c>
      <c r="B203" s="35" t="s">
        <v>146</v>
      </c>
      <c r="C203" s="148" t="s">
        <v>25</v>
      </c>
      <c r="D203" s="161">
        <v>6700110360</v>
      </c>
      <c r="E203" s="161"/>
      <c r="F203" s="161"/>
      <c r="G203" s="37"/>
      <c r="H203" s="39">
        <f>H204</f>
        <v>30000</v>
      </c>
      <c r="I203" s="39">
        <f aca="true" t="shared" si="69" ref="I203:T203">I204</f>
        <v>0</v>
      </c>
      <c r="J203" s="39">
        <f t="shared" si="69"/>
        <v>0</v>
      </c>
      <c r="K203" s="39">
        <f t="shared" si="69"/>
        <v>0</v>
      </c>
      <c r="L203" s="39">
        <f t="shared" si="69"/>
        <v>0</v>
      </c>
      <c r="M203" s="39">
        <f t="shared" si="69"/>
        <v>0</v>
      </c>
      <c r="N203" s="39">
        <f t="shared" si="69"/>
        <v>0</v>
      </c>
      <c r="O203" s="39">
        <f t="shared" si="69"/>
        <v>0</v>
      </c>
      <c r="P203" s="39">
        <f t="shared" si="69"/>
        <v>0</v>
      </c>
      <c r="Q203" s="39">
        <f t="shared" si="69"/>
        <v>0</v>
      </c>
      <c r="R203" s="39">
        <f t="shared" si="69"/>
        <v>0</v>
      </c>
      <c r="S203" s="39">
        <f t="shared" si="69"/>
        <v>0</v>
      </c>
      <c r="T203" s="39">
        <f t="shared" si="69"/>
        <v>30000</v>
      </c>
      <c r="U203" s="24">
        <f t="shared" si="67"/>
        <v>30000</v>
      </c>
    </row>
    <row r="204" spans="1:21" ht="12.75">
      <c r="A204" s="5" t="s">
        <v>42</v>
      </c>
      <c r="B204" s="47" t="s">
        <v>15</v>
      </c>
      <c r="C204" s="170" t="s">
        <v>25</v>
      </c>
      <c r="D204" s="171">
        <v>6700110360</v>
      </c>
      <c r="E204" s="171">
        <v>244</v>
      </c>
      <c r="F204" s="171">
        <v>226</v>
      </c>
      <c r="G204" s="44"/>
      <c r="H204" s="78">
        <v>30000</v>
      </c>
      <c r="I204" s="78">
        <v>0</v>
      </c>
      <c r="J204" s="78">
        <v>0</v>
      </c>
      <c r="K204" s="78">
        <v>0</v>
      </c>
      <c r="L204" s="78">
        <v>0</v>
      </c>
      <c r="M204" s="78">
        <v>0</v>
      </c>
      <c r="N204" s="78">
        <v>0</v>
      </c>
      <c r="O204" s="78">
        <v>0</v>
      </c>
      <c r="P204" s="78">
        <v>0</v>
      </c>
      <c r="Q204" s="78">
        <v>0</v>
      </c>
      <c r="R204" s="78">
        <v>0</v>
      </c>
      <c r="S204" s="78">
        <v>0</v>
      </c>
      <c r="T204" s="78">
        <v>30000</v>
      </c>
      <c r="U204" s="24">
        <f t="shared" si="67"/>
        <v>30000</v>
      </c>
    </row>
    <row r="205" spans="1:21" ht="12.75">
      <c r="A205" s="5"/>
      <c r="B205" s="68"/>
      <c r="C205" s="128"/>
      <c r="D205" s="127"/>
      <c r="E205" s="127"/>
      <c r="F205" s="127"/>
      <c r="G205" s="44"/>
      <c r="H205" s="78"/>
      <c r="I205" s="78"/>
      <c r="J205" s="78"/>
      <c r="K205" s="78"/>
      <c r="L205" s="78"/>
      <c r="M205" s="78"/>
      <c r="N205" s="78"/>
      <c r="O205" s="78"/>
      <c r="P205" s="78"/>
      <c r="Q205" s="78"/>
      <c r="R205" s="78"/>
      <c r="S205" s="78"/>
      <c r="T205" s="78"/>
      <c r="U205" s="24">
        <f t="shared" si="67"/>
        <v>0</v>
      </c>
    </row>
    <row r="206" spans="1:21" ht="76.5">
      <c r="A206" s="5"/>
      <c r="B206" s="108" t="s">
        <v>107</v>
      </c>
      <c r="C206" s="148" t="s">
        <v>25</v>
      </c>
      <c r="D206" s="161">
        <v>6800110370</v>
      </c>
      <c r="E206" s="166"/>
      <c r="F206" s="166"/>
      <c r="G206" s="37"/>
      <c r="H206" s="39">
        <f>H207</f>
        <v>100000</v>
      </c>
      <c r="I206" s="39">
        <f aca="true" t="shared" si="70" ref="I206:T206">I207</f>
        <v>0</v>
      </c>
      <c r="J206" s="39">
        <f t="shared" si="70"/>
        <v>0</v>
      </c>
      <c r="K206" s="39">
        <f t="shared" si="70"/>
        <v>0</v>
      </c>
      <c r="L206" s="39">
        <f t="shared" si="70"/>
        <v>0</v>
      </c>
      <c r="M206" s="39">
        <f t="shared" si="70"/>
        <v>0</v>
      </c>
      <c r="N206" s="39">
        <f t="shared" si="70"/>
        <v>0</v>
      </c>
      <c r="O206" s="39">
        <f t="shared" si="70"/>
        <v>0</v>
      </c>
      <c r="P206" s="39">
        <f t="shared" si="70"/>
        <v>0</v>
      </c>
      <c r="Q206" s="39">
        <f t="shared" si="70"/>
        <v>0</v>
      </c>
      <c r="R206" s="39">
        <f t="shared" si="70"/>
        <v>0</v>
      </c>
      <c r="S206" s="39">
        <f t="shared" si="70"/>
        <v>0</v>
      </c>
      <c r="T206" s="39">
        <f t="shared" si="70"/>
        <v>100000</v>
      </c>
      <c r="U206" s="24">
        <f t="shared" si="67"/>
        <v>100000</v>
      </c>
    </row>
    <row r="207" spans="1:21" ht="12.75">
      <c r="A207" s="5" t="s">
        <v>42</v>
      </c>
      <c r="B207" s="47" t="s">
        <v>15</v>
      </c>
      <c r="C207" s="170" t="s">
        <v>25</v>
      </c>
      <c r="D207" s="171">
        <v>6800110370</v>
      </c>
      <c r="E207" s="171">
        <v>244</v>
      </c>
      <c r="F207" s="171">
        <v>226</v>
      </c>
      <c r="G207" s="44"/>
      <c r="H207" s="78">
        <v>100000</v>
      </c>
      <c r="I207" s="78">
        <v>0</v>
      </c>
      <c r="J207" s="78">
        <v>0</v>
      </c>
      <c r="K207" s="78">
        <v>0</v>
      </c>
      <c r="L207" s="78">
        <v>0</v>
      </c>
      <c r="M207" s="78">
        <v>0</v>
      </c>
      <c r="N207" s="78">
        <v>0</v>
      </c>
      <c r="O207" s="78">
        <v>0</v>
      </c>
      <c r="P207" s="78">
        <v>0</v>
      </c>
      <c r="Q207" s="78">
        <v>0</v>
      </c>
      <c r="R207" s="78">
        <v>0</v>
      </c>
      <c r="S207" s="78">
        <v>0</v>
      </c>
      <c r="T207" s="78">
        <v>100000</v>
      </c>
      <c r="U207" s="24">
        <f t="shared" si="67"/>
        <v>100000</v>
      </c>
    </row>
    <row r="208" spans="1:21" ht="12.75">
      <c r="A208" s="5"/>
      <c r="B208" s="68"/>
      <c r="C208" s="128"/>
      <c r="D208" s="127"/>
      <c r="E208" s="127"/>
      <c r="F208" s="127"/>
      <c r="G208" s="44"/>
      <c r="H208" s="78"/>
      <c r="I208" s="78"/>
      <c r="J208" s="78"/>
      <c r="K208" s="78"/>
      <c r="L208" s="78"/>
      <c r="M208" s="78"/>
      <c r="N208" s="78"/>
      <c r="O208" s="78"/>
      <c r="P208" s="78"/>
      <c r="Q208" s="78"/>
      <c r="R208" s="78"/>
      <c r="S208" s="78"/>
      <c r="T208" s="78"/>
      <c r="U208" s="24">
        <f t="shared" si="67"/>
        <v>0</v>
      </c>
    </row>
    <row r="209" spans="1:21" ht="12.75" hidden="1">
      <c r="A209" s="5"/>
      <c r="B209" s="68"/>
      <c r="C209" s="128"/>
      <c r="D209" s="127"/>
      <c r="E209" s="127"/>
      <c r="F209" s="127"/>
      <c r="G209" s="44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24">
        <f t="shared" si="67"/>
        <v>0</v>
      </c>
    </row>
    <row r="210" spans="1:21" ht="12.75" hidden="1">
      <c r="A210" s="5"/>
      <c r="B210" s="68"/>
      <c r="C210" s="128"/>
      <c r="D210" s="127"/>
      <c r="E210" s="127"/>
      <c r="F210" s="127"/>
      <c r="G210" s="44"/>
      <c r="H210" s="78"/>
      <c r="I210" s="78"/>
      <c r="J210" s="78"/>
      <c r="K210" s="78"/>
      <c r="L210" s="78"/>
      <c r="M210" s="78"/>
      <c r="N210" s="78"/>
      <c r="O210" s="78"/>
      <c r="P210" s="78"/>
      <c r="Q210" s="78"/>
      <c r="R210" s="78"/>
      <c r="S210" s="78"/>
      <c r="T210" s="78"/>
      <c r="U210" s="24">
        <f t="shared" si="67"/>
        <v>0</v>
      </c>
    </row>
    <row r="211" spans="1:21" ht="12.75" hidden="1">
      <c r="A211" s="5"/>
      <c r="B211" s="68"/>
      <c r="C211" s="128"/>
      <c r="D211" s="127"/>
      <c r="E211" s="127"/>
      <c r="F211" s="127"/>
      <c r="G211" s="44"/>
      <c r="H211" s="78"/>
      <c r="I211" s="78"/>
      <c r="J211" s="78"/>
      <c r="K211" s="78"/>
      <c r="L211" s="78"/>
      <c r="M211" s="78"/>
      <c r="N211" s="78"/>
      <c r="O211" s="78"/>
      <c r="P211" s="78"/>
      <c r="Q211" s="78"/>
      <c r="R211" s="78"/>
      <c r="S211" s="78"/>
      <c r="T211" s="78"/>
      <c r="U211" s="24">
        <f t="shared" si="67"/>
        <v>0</v>
      </c>
    </row>
    <row r="212" spans="1:21" ht="12.75" hidden="1">
      <c r="A212" s="5"/>
      <c r="B212" s="68"/>
      <c r="C212" s="128"/>
      <c r="D212" s="127"/>
      <c r="E212" s="127"/>
      <c r="F212" s="127"/>
      <c r="G212" s="44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24">
        <f t="shared" si="67"/>
        <v>0</v>
      </c>
    </row>
    <row r="213" spans="1:21" ht="12.75" hidden="1">
      <c r="A213" s="5"/>
      <c r="B213" s="68"/>
      <c r="C213" s="128"/>
      <c r="D213" s="127"/>
      <c r="E213" s="127"/>
      <c r="F213" s="127"/>
      <c r="G213" s="44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24">
        <f t="shared" si="67"/>
        <v>0</v>
      </c>
    </row>
    <row r="214" spans="1:21" ht="12.75" hidden="1">
      <c r="A214" s="5"/>
      <c r="B214" s="68"/>
      <c r="C214" s="128"/>
      <c r="D214" s="127"/>
      <c r="E214" s="127"/>
      <c r="F214" s="127"/>
      <c r="G214" s="44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24">
        <f t="shared" si="67"/>
        <v>0</v>
      </c>
    </row>
    <row r="215" spans="1:21" ht="12.75" hidden="1">
      <c r="A215" s="5"/>
      <c r="B215" s="68"/>
      <c r="C215" s="128"/>
      <c r="D215" s="127"/>
      <c r="E215" s="127"/>
      <c r="F215" s="127"/>
      <c r="G215" s="44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24">
        <f t="shared" si="67"/>
        <v>0</v>
      </c>
    </row>
    <row r="216" spans="1:21" ht="12.75" hidden="1">
      <c r="A216" s="5"/>
      <c r="B216" s="68"/>
      <c r="C216" s="128"/>
      <c r="D216" s="127"/>
      <c r="E216" s="127"/>
      <c r="F216" s="127"/>
      <c r="G216" s="44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24">
        <f t="shared" si="67"/>
        <v>0</v>
      </c>
    </row>
    <row r="217" spans="1:21" ht="12.75" hidden="1">
      <c r="A217" s="5"/>
      <c r="B217" s="68"/>
      <c r="C217" s="128"/>
      <c r="D217" s="127"/>
      <c r="E217" s="127"/>
      <c r="F217" s="127"/>
      <c r="G217" s="44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24">
        <f t="shared" si="67"/>
        <v>0</v>
      </c>
    </row>
    <row r="218" spans="1:21" ht="12.75" hidden="1">
      <c r="A218" s="42"/>
      <c r="B218" s="66"/>
      <c r="C218" s="123"/>
      <c r="D218" s="123"/>
      <c r="E218" s="123"/>
      <c r="F218" s="123"/>
      <c r="G218" s="44"/>
      <c r="H218" s="81"/>
      <c r="I218" s="81"/>
      <c r="J218" s="81"/>
      <c r="K218" s="81"/>
      <c r="L218" s="81"/>
      <c r="M218" s="81"/>
      <c r="N218" s="81"/>
      <c r="O218" s="81"/>
      <c r="P218" s="81"/>
      <c r="Q218" s="81"/>
      <c r="R218" s="81"/>
      <c r="S218" s="81"/>
      <c r="T218" s="81"/>
      <c r="U218" s="24">
        <f t="shared" si="67"/>
        <v>0</v>
      </c>
    </row>
    <row r="219" spans="1:21" ht="12.75">
      <c r="A219" s="42"/>
      <c r="B219" s="29" t="s">
        <v>53</v>
      </c>
      <c r="C219" s="180" t="s">
        <v>25</v>
      </c>
      <c r="D219" s="123"/>
      <c r="E219" s="123"/>
      <c r="F219" s="123"/>
      <c r="G219" s="44"/>
      <c r="H219" s="74">
        <f>H192+H203+H206</f>
        <v>1735500</v>
      </c>
      <c r="I219" s="75">
        <f aca="true" t="shared" si="71" ref="I219:T219">I192+I203+I206</f>
        <v>45550</v>
      </c>
      <c r="J219" s="75">
        <f t="shared" si="71"/>
        <v>49700</v>
      </c>
      <c r="K219" s="75">
        <f t="shared" si="71"/>
        <v>80000</v>
      </c>
      <c r="L219" s="75">
        <f t="shared" si="71"/>
        <v>139000</v>
      </c>
      <c r="M219" s="75">
        <f t="shared" si="71"/>
        <v>80000</v>
      </c>
      <c r="N219" s="75">
        <f t="shared" si="71"/>
        <v>81250</v>
      </c>
      <c r="O219" s="75">
        <f t="shared" si="71"/>
        <v>95000</v>
      </c>
      <c r="P219" s="75">
        <f t="shared" si="71"/>
        <v>125000</v>
      </c>
      <c r="Q219" s="75">
        <f t="shared" si="71"/>
        <v>110000</v>
      </c>
      <c r="R219" s="75">
        <f t="shared" si="71"/>
        <v>200000</v>
      </c>
      <c r="S219" s="75">
        <f t="shared" si="71"/>
        <v>250000</v>
      </c>
      <c r="T219" s="75">
        <f t="shared" si="71"/>
        <v>480000</v>
      </c>
      <c r="U219" s="24">
        <f>I219+J219+K219+L219+M219+N219+O219+P219+Q219+R219+S219+T219</f>
        <v>1735500</v>
      </c>
    </row>
    <row r="220" spans="1:21" ht="12.75">
      <c r="A220" s="42"/>
      <c r="B220" s="66"/>
      <c r="C220" s="123"/>
      <c r="D220" s="123"/>
      <c r="E220" s="123"/>
      <c r="F220" s="123"/>
      <c r="G220" s="44"/>
      <c r="H220" s="81"/>
      <c r="I220" s="81"/>
      <c r="J220" s="81"/>
      <c r="K220" s="81"/>
      <c r="L220" s="81"/>
      <c r="M220" s="81"/>
      <c r="N220" s="81"/>
      <c r="O220" s="81"/>
      <c r="P220" s="81"/>
      <c r="Q220" s="81"/>
      <c r="R220" s="81"/>
      <c r="S220" s="81"/>
      <c r="T220" s="81"/>
      <c r="U220" s="24"/>
    </row>
    <row r="221" spans="1:21" ht="12.75">
      <c r="A221" s="53"/>
      <c r="B221" s="54" t="s">
        <v>74</v>
      </c>
      <c r="C221" s="139"/>
      <c r="D221" s="139"/>
      <c r="E221" s="139"/>
      <c r="F221" s="139"/>
      <c r="G221" s="79"/>
      <c r="H221" s="80">
        <f aca="true" t="shared" si="72" ref="H221:T221">H219+H190</f>
        <v>2946200</v>
      </c>
      <c r="I221" s="80">
        <f t="shared" si="72"/>
        <v>51950</v>
      </c>
      <c r="J221" s="80">
        <f t="shared" si="72"/>
        <v>56100</v>
      </c>
      <c r="K221" s="80">
        <f t="shared" si="72"/>
        <v>86400</v>
      </c>
      <c r="L221" s="80">
        <f t="shared" si="72"/>
        <v>145400</v>
      </c>
      <c r="M221" s="80">
        <f t="shared" si="72"/>
        <v>136400</v>
      </c>
      <c r="N221" s="80">
        <f t="shared" si="72"/>
        <v>112650</v>
      </c>
      <c r="O221" s="80">
        <f t="shared" si="72"/>
        <v>111400</v>
      </c>
      <c r="P221" s="80">
        <f t="shared" si="72"/>
        <v>131400</v>
      </c>
      <c r="Q221" s="80">
        <f t="shared" si="72"/>
        <v>116400</v>
      </c>
      <c r="R221" s="80">
        <f t="shared" si="72"/>
        <v>688200</v>
      </c>
      <c r="S221" s="80">
        <f t="shared" si="72"/>
        <v>823200</v>
      </c>
      <c r="T221" s="80">
        <f t="shared" si="72"/>
        <v>486700</v>
      </c>
      <c r="U221" s="24">
        <f>I221+J221+K221+L221+M221+N221+O221+P221+Q221+R221+S221+T221</f>
        <v>2946200</v>
      </c>
    </row>
    <row r="222" spans="1:21" ht="12.75">
      <c r="A222" s="42"/>
      <c r="B222" s="66"/>
      <c r="C222" s="123"/>
      <c r="D222" s="123"/>
      <c r="E222" s="123"/>
      <c r="F222" s="123"/>
      <c r="G222" s="44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24"/>
    </row>
    <row r="223" spans="1:21" ht="69.75" customHeight="1">
      <c r="A223" s="5" t="s">
        <v>42</v>
      </c>
      <c r="B223" s="35" t="s">
        <v>147</v>
      </c>
      <c r="C223" s="148" t="s">
        <v>75</v>
      </c>
      <c r="D223" s="161">
        <v>6500000000</v>
      </c>
      <c r="E223" s="161"/>
      <c r="F223" s="161"/>
      <c r="G223" s="37"/>
      <c r="H223" s="39">
        <f aca="true" t="shared" si="73" ref="H223:T223">H224+H225+H226+H227+H228</f>
        <v>105200</v>
      </c>
      <c r="I223" s="39">
        <f t="shared" si="73"/>
        <v>9200</v>
      </c>
      <c r="J223" s="39">
        <f t="shared" si="73"/>
        <v>7000</v>
      </c>
      <c r="K223" s="39">
        <f t="shared" si="73"/>
        <v>7000</v>
      </c>
      <c r="L223" s="39">
        <f t="shared" si="73"/>
        <v>9200</v>
      </c>
      <c r="M223" s="39">
        <f t="shared" si="73"/>
        <v>9200</v>
      </c>
      <c r="N223" s="39">
        <f t="shared" si="73"/>
        <v>7000</v>
      </c>
      <c r="O223" s="39">
        <f t="shared" si="73"/>
        <v>7000</v>
      </c>
      <c r="P223" s="39">
        <f t="shared" si="73"/>
        <v>9200</v>
      </c>
      <c r="Q223" s="39">
        <f t="shared" si="73"/>
        <v>9200</v>
      </c>
      <c r="R223" s="39">
        <f t="shared" si="73"/>
        <v>9400</v>
      </c>
      <c r="S223" s="39">
        <f t="shared" si="73"/>
        <v>9400</v>
      </c>
      <c r="T223" s="39">
        <f t="shared" si="73"/>
        <v>12400</v>
      </c>
      <c r="U223" s="24">
        <f aca="true" t="shared" si="74" ref="U223:U228">I223+J223+K223+L223+M223+N223+O223+P223+Q223+R223+S223+T223</f>
        <v>105200</v>
      </c>
    </row>
    <row r="224" spans="1:21" ht="12.75" hidden="1">
      <c r="A224" s="5" t="s">
        <v>42</v>
      </c>
      <c r="B224" s="3" t="s">
        <v>7</v>
      </c>
      <c r="C224" s="172" t="s">
        <v>75</v>
      </c>
      <c r="D224" s="171">
        <v>6510110250</v>
      </c>
      <c r="E224" s="171">
        <v>611</v>
      </c>
      <c r="F224" s="171">
        <v>211</v>
      </c>
      <c r="G224" s="50"/>
      <c r="H224" s="78">
        <v>0</v>
      </c>
      <c r="I224" s="78">
        <v>0</v>
      </c>
      <c r="J224" s="78">
        <v>0</v>
      </c>
      <c r="K224" s="78">
        <v>0</v>
      </c>
      <c r="L224" s="78">
        <v>0</v>
      </c>
      <c r="M224" s="78">
        <v>0</v>
      </c>
      <c r="N224" s="78">
        <v>0</v>
      </c>
      <c r="O224" s="78">
        <v>0</v>
      </c>
      <c r="P224" s="78">
        <v>0</v>
      </c>
      <c r="Q224" s="78">
        <v>0</v>
      </c>
      <c r="R224" s="78">
        <v>0</v>
      </c>
      <c r="S224" s="78">
        <v>0</v>
      </c>
      <c r="T224" s="78">
        <v>0</v>
      </c>
      <c r="U224" s="24">
        <f t="shared" si="74"/>
        <v>0</v>
      </c>
    </row>
    <row r="225" spans="1:21" ht="12.75" hidden="1">
      <c r="A225" s="5" t="s">
        <v>42</v>
      </c>
      <c r="B225" s="3" t="s">
        <v>9</v>
      </c>
      <c r="C225" s="172" t="s">
        <v>75</v>
      </c>
      <c r="D225" s="171">
        <v>6510110250</v>
      </c>
      <c r="E225" s="171">
        <v>611</v>
      </c>
      <c r="F225" s="171">
        <v>213</v>
      </c>
      <c r="G225" s="50"/>
      <c r="H225" s="78">
        <v>0</v>
      </c>
      <c r="I225" s="78">
        <v>0</v>
      </c>
      <c r="J225" s="78">
        <v>0</v>
      </c>
      <c r="K225" s="78">
        <v>0</v>
      </c>
      <c r="L225" s="78">
        <v>0</v>
      </c>
      <c r="M225" s="78">
        <v>0</v>
      </c>
      <c r="N225" s="78">
        <v>0</v>
      </c>
      <c r="O225" s="78">
        <v>0</v>
      </c>
      <c r="P225" s="78">
        <v>0</v>
      </c>
      <c r="Q225" s="78">
        <v>0</v>
      </c>
      <c r="R225" s="78">
        <v>0</v>
      </c>
      <c r="S225" s="78">
        <v>0</v>
      </c>
      <c r="T225" s="78">
        <v>0</v>
      </c>
      <c r="U225" s="24">
        <f t="shared" si="74"/>
        <v>0</v>
      </c>
    </row>
    <row r="226" spans="1:21" ht="25.5">
      <c r="A226" s="83" t="s">
        <v>42</v>
      </c>
      <c r="B226" s="3" t="s">
        <v>7</v>
      </c>
      <c r="C226" s="172" t="s">
        <v>75</v>
      </c>
      <c r="D226" s="171">
        <v>6510110250</v>
      </c>
      <c r="E226" s="171">
        <v>611</v>
      </c>
      <c r="F226" s="171">
        <v>211</v>
      </c>
      <c r="G226" s="82" t="s">
        <v>76</v>
      </c>
      <c r="H226" s="78">
        <v>65400</v>
      </c>
      <c r="I226" s="78">
        <v>5400</v>
      </c>
      <c r="J226" s="78">
        <v>5400</v>
      </c>
      <c r="K226" s="78">
        <v>5400</v>
      </c>
      <c r="L226" s="78">
        <v>5400</v>
      </c>
      <c r="M226" s="78">
        <v>5400</v>
      </c>
      <c r="N226" s="78">
        <v>5400</v>
      </c>
      <c r="O226" s="78">
        <v>5400</v>
      </c>
      <c r="P226" s="78">
        <v>5400</v>
      </c>
      <c r="Q226" s="78">
        <v>5400</v>
      </c>
      <c r="R226" s="78">
        <v>5400</v>
      </c>
      <c r="S226" s="78">
        <v>5400</v>
      </c>
      <c r="T226" s="78">
        <v>6000</v>
      </c>
      <c r="U226" s="24">
        <f t="shared" si="74"/>
        <v>65400</v>
      </c>
    </row>
    <row r="227" spans="1:21" ht="25.5">
      <c r="A227" s="83" t="s">
        <v>42</v>
      </c>
      <c r="B227" s="3" t="s">
        <v>9</v>
      </c>
      <c r="C227" s="172" t="s">
        <v>75</v>
      </c>
      <c r="D227" s="171">
        <v>6510110250</v>
      </c>
      <c r="E227" s="171">
        <v>611</v>
      </c>
      <c r="F227" s="171">
        <v>213</v>
      </c>
      <c r="G227" s="82" t="s">
        <v>76</v>
      </c>
      <c r="H227" s="78">
        <v>19800</v>
      </c>
      <c r="I227" s="78">
        <v>1600</v>
      </c>
      <c r="J227" s="78">
        <v>1600</v>
      </c>
      <c r="K227" s="78">
        <v>1600</v>
      </c>
      <c r="L227" s="78">
        <v>1600</v>
      </c>
      <c r="M227" s="78">
        <v>1600</v>
      </c>
      <c r="N227" s="78">
        <v>1600</v>
      </c>
      <c r="O227" s="78">
        <v>1600</v>
      </c>
      <c r="P227" s="78">
        <v>1600</v>
      </c>
      <c r="Q227" s="78">
        <v>1600</v>
      </c>
      <c r="R227" s="78">
        <v>1600</v>
      </c>
      <c r="S227" s="78">
        <v>1600</v>
      </c>
      <c r="T227" s="78">
        <v>2200</v>
      </c>
      <c r="U227" s="24">
        <f t="shared" si="74"/>
        <v>19800</v>
      </c>
    </row>
    <row r="228" spans="1:21" ht="12.75">
      <c r="A228" s="5" t="s">
        <v>42</v>
      </c>
      <c r="B228" s="72" t="s">
        <v>16</v>
      </c>
      <c r="C228" s="172" t="s">
        <v>75</v>
      </c>
      <c r="D228" s="171">
        <v>6510110250</v>
      </c>
      <c r="E228" s="171">
        <v>611</v>
      </c>
      <c r="F228" s="171">
        <v>290</v>
      </c>
      <c r="G228" s="50"/>
      <c r="H228" s="78">
        <v>20000</v>
      </c>
      <c r="I228" s="78">
        <v>2200</v>
      </c>
      <c r="J228" s="78">
        <v>0</v>
      </c>
      <c r="K228" s="78">
        <v>0</v>
      </c>
      <c r="L228" s="78">
        <v>2200</v>
      </c>
      <c r="M228" s="78">
        <v>2200</v>
      </c>
      <c r="N228" s="78">
        <v>0</v>
      </c>
      <c r="O228" s="78">
        <v>0</v>
      </c>
      <c r="P228" s="78">
        <v>2200</v>
      </c>
      <c r="Q228" s="78">
        <v>2200</v>
      </c>
      <c r="R228" s="78">
        <v>2400</v>
      </c>
      <c r="S228" s="78">
        <v>2400</v>
      </c>
      <c r="T228" s="78">
        <v>4200</v>
      </c>
      <c r="U228" s="24">
        <f t="shared" si="74"/>
        <v>20000</v>
      </c>
    </row>
    <row r="229" spans="1:21" ht="12.75">
      <c r="A229" s="42"/>
      <c r="B229" s="66"/>
      <c r="C229" s="171"/>
      <c r="D229" s="171"/>
      <c r="E229" s="171"/>
      <c r="F229" s="171"/>
      <c r="G229" s="50"/>
      <c r="H229" s="78"/>
      <c r="I229" s="78"/>
      <c r="J229" s="78"/>
      <c r="K229" s="78"/>
      <c r="L229" s="78"/>
      <c r="M229" s="78"/>
      <c r="N229" s="78"/>
      <c r="O229" s="78"/>
      <c r="P229" s="78"/>
      <c r="Q229" s="78"/>
      <c r="R229" s="78"/>
      <c r="S229" s="78"/>
      <c r="T229" s="78"/>
      <c r="U229" s="24"/>
    </row>
    <row r="230" spans="1:21" ht="12.75">
      <c r="A230" s="42"/>
      <c r="B230" s="29" t="s">
        <v>53</v>
      </c>
      <c r="C230" s="180" t="s">
        <v>75</v>
      </c>
      <c r="D230" s="171"/>
      <c r="E230" s="171"/>
      <c r="F230" s="171"/>
      <c r="G230" s="50"/>
      <c r="H230" s="74">
        <f aca="true" t="shared" si="75" ref="H230:T230">H223</f>
        <v>105200</v>
      </c>
      <c r="I230" s="75">
        <f t="shared" si="75"/>
        <v>9200</v>
      </c>
      <c r="J230" s="75">
        <f t="shared" si="75"/>
        <v>7000</v>
      </c>
      <c r="K230" s="75">
        <f t="shared" si="75"/>
        <v>7000</v>
      </c>
      <c r="L230" s="75">
        <f t="shared" si="75"/>
        <v>9200</v>
      </c>
      <c r="M230" s="75">
        <f t="shared" si="75"/>
        <v>9200</v>
      </c>
      <c r="N230" s="75">
        <f t="shared" si="75"/>
        <v>7000</v>
      </c>
      <c r="O230" s="75">
        <f t="shared" si="75"/>
        <v>7000</v>
      </c>
      <c r="P230" s="75">
        <f t="shared" si="75"/>
        <v>9200</v>
      </c>
      <c r="Q230" s="75">
        <f t="shared" si="75"/>
        <v>9200</v>
      </c>
      <c r="R230" s="75">
        <f t="shared" si="75"/>
        <v>9400</v>
      </c>
      <c r="S230" s="75">
        <f t="shared" si="75"/>
        <v>9400</v>
      </c>
      <c r="T230" s="75">
        <f t="shared" si="75"/>
        <v>12400</v>
      </c>
      <c r="U230" s="24">
        <f>I230+J230+K230+L230+M230+N230+O230+P230+Q230+R230+S230+T230</f>
        <v>105200</v>
      </c>
    </row>
    <row r="231" spans="1:21" ht="12.75">
      <c r="A231" s="42"/>
      <c r="B231" s="66"/>
      <c r="C231" s="127"/>
      <c r="D231" s="127"/>
      <c r="E231" s="127"/>
      <c r="F231" s="127"/>
      <c r="G231" s="50"/>
      <c r="H231" s="78"/>
      <c r="I231" s="78"/>
      <c r="J231" s="78"/>
      <c r="K231" s="78"/>
      <c r="L231" s="78"/>
      <c r="M231" s="78"/>
      <c r="N231" s="78"/>
      <c r="O231" s="78"/>
      <c r="P231" s="78"/>
      <c r="Q231" s="78"/>
      <c r="R231" s="78"/>
      <c r="S231" s="78"/>
      <c r="T231" s="78"/>
      <c r="U231" s="24"/>
    </row>
    <row r="232" spans="1:21" ht="12.75">
      <c r="A232" s="53"/>
      <c r="B232" s="54" t="s">
        <v>77</v>
      </c>
      <c r="C232" s="140"/>
      <c r="D232" s="140"/>
      <c r="E232" s="140"/>
      <c r="F232" s="140"/>
      <c r="G232" s="84"/>
      <c r="H232" s="80">
        <f aca="true" t="shared" si="76" ref="H232:T232">H230</f>
        <v>105200</v>
      </c>
      <c r="I232" s="80">
        <f t="shared" si="76"/>
        <v>9200</v>
      </c>
      <c r="J232" s="80">
        <f t="shared" si="76"/>
        <v>7000</v>
      </c>
      <c r="K232" s="80">
        <f t="shared" si="76"/>
        <v>7000</v>
      </c>
      <c r="L232" s="80">
        <f t="shared" si="76"/>
        <v>9200</v>
      </c>
      <c r="M232" s="80">
        <f t="shared" si="76"/>
        <v>9200</v>
      </c>
      <c r="N232" s="80">
        <f t="shared" si="76"/>
        <v>7000</v>
      </c>
      <c r="O232" s="80">
        <f t="shared" si="76"/>
        <v>7000</v>
      </c>
      <c r="P232" s="80">
        <f t="shared" si="76"/>
        <v>9200</v>
      </c>
      <c r="Q232" s="80">
        <f t="shared" si="76"/>
        <v>9200</v>
      </c>
      <c r="R232" s="80">
        <f t="shared" si="76"/>
        <v>9400</v>
      </c>
      <c r="S232" s="80">
        <f t="shared" si="76"/>
        <v>9400</v>
      </c>
      <c r="T232" s="80">
        <f t="shared" si="76"/>
        <v>12400</v>
      </c>
      <c r="U232" s="24">
        <f>I232+J232+K232+L232+M232+N232+O232+P232+Q232+R232+S232+T232</f>
        <v>105200</v>
      </c>
    </row>
    <row r="233" spans="1:21" ht="12.75">
      <c r="A233" s="42"/>
      <c r="B233" s="66"/>
      <c r="C233" s="127"/>
      <c r="D233" s="127"/>
      <c r="E233" s="127"/>
      <c r="F233" s="127"/>
      <c r="G233" s="50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24"/>
    </row>
    <row r="234" spans="1:21" ht="66.75" customHeight="1">
      <c r="A234" s="5" t="s">
        <v>42</v>
      </c>
      <c r="B234" s="35" t="s">
        <v>148</v>
      </c>
      <c r="C234" s="148" t="s">
        <v>26</v>
      </c>
      <c r="D234" s="161">
        <v>8200000000</v>
      </c>
      <c r="E234" s="117"/>
      <c r="F234" s="117"/>
      <c r="G234" s="37"/>
      <c r="H234" s="39">
        <f aca="true" t="shared" si="77" ref="H234:T234">H236+H239+H267+H282</f>
        <v>12249900</v>
      </c>
      <c r="I234" s="39">
        <f t="shared" si="77"/>
        <v>995900</v>
      </c>
      <c r="J234" s="39">
        <f t="shared" si="77"/>
        <v>955190</v>
      </c>
      <c r="K234" s="39">
        <f t="shared" si="77"/>
        <v>973290</v>
      </c>
      <c r="L234" s="39">
        <f t="shared" si="77"/>
        <v>1031890</v>
      </c>
      <c r="M234" s="39">
        <f t="shared" si="77"/>
        <v>952790</v>
      </c>
      <c r="N234" s="39">
        <f t="shared" si="77"/>
        <v>914650</v>
      </c>
      <c r="O234" s="39">
        <f t="shared" si="77"/>
        <v>978790</v>
      </c>
      <c r="P234" s="39">
        <f t="shared" si="77"/>
        <v>928790</v>
      </c>
      <c r="Q234" s="39">
        <f t="shared" si="77"/>
        <v>957690</v>
      </c>
      <c r="R234" s="39">
        <f t="shared" si="77"/>
        <v>1111630</v>
      </c>
      <c r="S234" s="39">
        <f t="shared" si="77"/>
        <v>1147390</v>
      </c>
      <c r="T234" s="39">
        <f t="shared" si="77"/>
        <v>1301900</v>
      </c>
      <c r="U234" s="24">
        <f>I234+J234+K234+L234+M234+N234+O234+P234+Q234+R234+S234+T234</f>
        <v>12249900</v>
      </c>
    </row>
    <row r="235" spans="1:21" ht="12.75">
      <c r="A235" s="42"/>
      <c r="B235" s="66"/>
      <c r="C235" s="123"/>
      <c r="D235" s="123"/>
      <c r="E235" s="123"/>
      <c r="F235" s="123"/>
      <c r="G235" s="44"/>
      <c r="H235" s="81"/>
      <c r="I235" s="81"/>
      <c r="J235" s="81"/>
      <c r="K235" s="81"/>
      <c r="L235" s="81"/>
      <c r="M235" s="81"/>
      <c r="N235" s="81"/>
      <c r="O235" s="81"/>
      <c r="P235" s="81"/>
      <c r="Q235" s="81"/>
      <c r="R235" s="81"/>
      <c r="S235" s="81"/>
      <c r="T235" s="81"/>
      <c r="U235" s="24"/>
    </row>
    <row r="236" spans="1:21" ht="38.25">
      <c r="A236" s="5" t="s">
        <v>42</v>
      </c>
      <c r="B236" s="35" t="s">
        <v>149</v>
      </c>
      <c r="C236" s="148" t="s">
        <v>26</v>
      </c>
      <c r="D236" s="161">
        <v>8210000000</v>
      </c>
      <c r="E236" s="161"/>
      <c r="F236" s="161"/>
      <c r="G236" s="37"/>
      <c r="H236" s="39">
        <f aca="true" t="shared" si="78" ref="H236:T236">H237</f>
        <v>50000</v>
      </c>
      <c r="I236" s="39">
        <f t="shared" si="78"/>
        <v>0</v>
      </c>
      <c r="J236" s="39">
        <f t="shared" si="78"/>
        <v>0</v>
      </c>
      <c r="K236" s="39">
        <f t="shared" si="78"/>
        <v>0</v>
      </c>
      <c r="L236" s="39">
        <f t="shared" si="78"/>
        <v>0</v>
      </c>
      <c r="M236" s="39">
        <f t="shared" si="78"/>
        <v>0</v>
      </c>
      <c r="N236" s="39">
        <f t="shared" si="78"/>
        <v>0</v>
      </c>
      <c r="O236" s="39">
        <f t="shared" si="78"/>
        <v>0</v>
      </c>
      <c r="P236" s="39">
        <f t="shared" si="78"/>
        <v>0</v>
      </c>
      <c r="Q236" s="39">
        <f t="shared" si="78"/>
        <v>0</v>
      </c>
      <c r="R236" s="39">
        <f t="shared" si="78"/>
        <v>0</v>
      </c>
      <c r="S236" s="39">
        <f t="shared" si="78"/>
        <v>0</v>
      </c>
      <c r="T236" s="39">
        <f t="shared" si="78"/>
        <v>50000</v>
      </c>
      <c r="U236" s="24">
        <f>I236+J236+K236+L236+M236+N236+O236+P236+Q236+R236+S236+T236</f>
        <v>50000</v>
      </c>
    </row>
    <row r="237" spans="1:21" ht="12.75">
      <c r="A237" s="5" t="s">
        <v>42</v>
      </c>
      <c r="B237" s="72" t="s">
        <v>16</v>
      </c>
      <c r="C237" s="170" t="s">
        <v>26</v>
      </c>
      <c r="D237" s="171">
        <v>8210100260</v>
      </c>
      <c r="E237" s="171">
        <v>611</v>
      </c>
      <c r="F237" s="171">
        <v>290</v>
      </c>
      <c r="G237" s="50"/>
      <c r="H237" s="78">
        <v>50000</v>
      </c>
      <c r="I237" s="78">
        <v>0</v>
      </c>
      <c r="J237" s="78">
        <v>0</v>
      </c>
      <c r="K237" s="78">
        <v>0</v>
      </c>
      <c r="L237" s="78">
        <v>0</v>
      </c>
      <c r="M237" s="78">
        <v>0</v>
      </c>
      <c r="N237" s="78">
        <v>0</v>
      </c>
      <c r="O237" s="78">
        <v>0</v>
      </c>
      <c r="P237" s="78">
        <v>0</v>
      </c>
      <c r="Q237" s="78">
        <v>0</v>
      </c>
      <c r="R237" s="78">
        <v>0</v>
      </c>
      <c r="S237" s="78">
        <v>0</v>
      </c>
      <c r="T237" s="78">
        <v>50000</v>
      </c>
      <c r="U237" s="24">
        <f>I237+J237+K237+L237+M237+N237+O237+P237+Q237+R237+S237+T237</f>
        <v>50000</v>
      </c>
    </row>
    <row r="238" spans="1:21" ht="12.75">
      <c r="A238" s="42"/>
      <c r="B238" s="66"/>
      <c r="C238" s="127"/>
      <c r="D238" s="127"/>
      <c r="E238" s="127"/>
      <c r="F238" s="127"/>
      <c r="G238" s="50"/>
      <c r="H238" s="78"/>
      <c r="I238" s="78"/>
      <c r="J238" s="78"/>
      <c r="K238" s="78"/>
      <c r="L238" s="78"/>
      <c r="M238" s="78"/>
      <c r="N238" s="78"/>
      <c r="O238" s="78"/>
      <c r="P238" s="78"/>
      <c r="Q238" s="78"/>
      <c r="R238" s="78"/>
      <c r="S238" s="78"/>
      <c r="T238" s="78"/>
      <c r="U238" s="24"/>
    </row>
    <row r="239" spans="1:21" ht="89.25">
      <c r="A239" s="5" t="s">
        <v>42</v>
      </c>
      <c r="B239" s="35" t="s">
        <v>150</v>
      </c>
      <c r="C239" s="148" t="s">
        <v>26</v>
      </c>
      <c r="D239" s="161">
        <v>8220000000</v>
      </c>
      <c r="E239" s="117"/>
      <c r="F239" s="117"/>
      <c r="G239" s="37"/>
      <c r="H239" s="39">
        <f aca="true" t="shared" si="79" ref="H239:T239">H240+H241+H242+H243+H244+H245+H246+H247+H248+H250+H251+H252+H253+H254+H255+H256+H257+H258+H259+H260+H262+H263+H249+H261+H264+H265</f>
        <v>8326500</v>
      </c>
      <c r="I239" s="39">
        <f t="shared" si="79"/>
        <v>677700</v>
      </c>
      <c r="J239" s="39">
        <f t="shared" si="79"/>
        <v>653890</v>
      </c>
      <c r="K239" s="39">
        <f t="shared" si="79"/>
        <v>667190</v>
      </c>
      <c r="L239" s="39">
        <f t="shared" si="79"/>
        <v>722790</v>
      </c>
      <c r="M239" s="39">
        <f t="shared" si="79"/>
        <v>633690</v>
      </c>
      <c r="N239" s="39">
        <f t="shared" si="79"/>
        <v>615550</v>
      </c>
      <c r="O239" s="39">
        <f t="shared" si="79"/>
        <v>670190</v>
      </c>
      <c r="P239" s="39">
        <f t="shared" si="79"/>
        <v>619690</v>
      </c>
      <c r="Q239" s="39">
        <f t="shared" si="79"/>
        <v>648590</v>
      </c>
      <c r="R239" s="39">
        <f t="shared" si="79"/>
        <v>750130</v>
      </c>
      <c r="S239" s="39">
        <f t="shared" si="79"/>
        <v>797490</v>
      </c>
      <c r="T239" s="39">
        <f t="shared" si="79"/>
        <v>869600</v>
      </c>
      <c r="U239" s="24">
        <f aca="true" t="shared" si="80" ref="U239:U265">I239+J239+K239+L239+M239+N239+O239+P239+Q239+R239+S239+T239</f>
        <v>8326500</v>
      </c>
    </row>
    <row r="240" spans="1:21" ht="25.5">
      <c r="A240" s="5" t="s">
        <v>42</v>
      </c>
      <c r="B240" s="3" t="s">
        <v>7</v>
      </c>
      <c r="C240" s="164" t="s">
        <v>26</v>
      </c>
      <c r="D240" s="162">
        <v>8220100270</v>
      </c>
      <c r="E240" s="162">
        <v>611</v>
      </c>
      <c r="F240" s="162">
        <v>211</v>
      </c>
      <c r="G240" s="87" t="s">
        <v>108</v>
      </c>
      <c r="H240" s="78">
        <v>5537600</v>
      </c>
      <c r="I240" s="78">
        <v>461100</v>
      </c>
      <c r="J240" s="78">
        <v>461500</v>
      </c>
      <c r="K240" s="78">
        <v>461500</v>
      </c>
      <c r="L240" s="78">
        <v>461500</v>
      </c>
      <c r="M240" s="78">
        <v>461500</v>
      </c>
      <c r="N240" s="78">
        <v>461500</v>
      </c>
      <c r="O240" s="78">
        <v>461500</v>
      </c>
      <c r="P240" s="78">
        <v>461500</v>
      </c>
      <c r="Q240" s="78">
        <v>461500</v>
      </c>
      <c r="R240" s="78">
        <v>461500</v>
      </c>
      <c r="S240" s="78">
        <v>461500</v>
      </c>
      <c r="T240" s="78">
        <v>461500</v>
      </c>
      <c r="U240" s="24">
        <f t="shared" si="80"/>
        <v>5537600</v>
      </c>
    </row>
    <row r="241" spans="1:21" ht="25.5">
      <c r="A241" s="5" t="s">
        <v>42</v>
      </c>
      <c r="B241" s="3" t="s">
        <v>9</v>
      </c>
      <c r="C241" s="164" t="s">
        <v>26</v>
      </c>
      <c r="D241" s="162">
        <v>8220100270</v>
      </c>
      <c r="E241" s="162">
        <v>611</v>
      </c>
      <c r="F241" s="162">
        <v>213</v>
      </c>
      <c r="G241" s="87" t="s">
        <v>108</v>
      </c>
      <c r="H241" s="78">
        <v>1672400</v>
      </c>
      <c r="I241" s="78">
        <v>139000</v>
      </c>
      <c r="J241" s="78">
        <v>139400</v>
      </c>
      <c r="K241" s="78">
        <v>139400</v>
      </c>
      <c r="L241" s="78">
        <v>139400</v>
      </c>
      <c r="M241" s="78">
        <v>139400</v>
      </c>
      <c r="N241" s="78">
        <v>139400</v>
      </c>
      <c r="O241" s="78">
        <v>139400</v>
      </c>
      <c r="P241" s="78">
        <v>139400</v>
      </c>
      <c r="Q241" s="78">
        <v>139400</v>
      </c>
      <c r="R241" s="78">
        <v>139400</v>
      </c>
      <c r="S241" s="78">
        <v>139400</v>
      </c>
      <c r="T241" s="78">
        <v>139400</v>
      </c>
      <c r="U241" s="24">
        <f t="shared" si="80"/>
        <v>1672400</v>
      </c>
    </row>
    <row r="242" spans="1:21" ht="12.75">
      <c r="A242" s="5" t="s">
        <v>42</v>
      </c>
      <c r="B242" s="3" t="s">
        <v>12</v>
      </c>
      <c r="C242" s="164" t="s">
        <v>26</v>
      </c>
      <c r="D242" s="162">
        <v>8220100270</v>
      </c>
      <c r="E242" s="162">
        <v>611</v>
      </c>
      <c r="F242" s="162">
        <v>221</v>
      </c>
      <c r="G242" s="85" t="s">
        <v>82</v>
      </c>
      <c r="H242" s="78">
        <v>24400</v>
      </c>
      <c r="I242" s="78">
        <v>2000</v>
      </c>
      <c r="J242" s="78">
        <v>2000</v>
      </c>
      <c r="K242" s="78">
        <v>2000</v>
      </c>
      <c r="L242" s="78">
        <v>2000</v>
      </c>
      <c r="M242" s="78">
        <v>2000</v>
      </c>
      <c r="N242" s="78">
        <v>2000</v>
      </c>
      <c r="O242" s="78">
        <v>2000</v>
      </c>
      <c r="P242" s="78">
        <v>2000</v>
      </c>
      <c r="Q242" s="78">
        <v>2000</v>
      </c>
      <c r="R242" s="78">
        <v>2000</v>
      </c>
      <c r="S242" s="78">
        <v>2000</v>
      </c>
      <c r="T242" s="78">
        <v>2400</v>
      </c>
      <c r="U242" s="24">
        <f t="shared" si="80"/>
        <v>24400</v>
      </c>
    </row>
    <row r="243" spans="1:21" ht="12.75">
      <c r="A243" s="5" t="s">
        <v>42</v>
      </c>
      <c r="B243" s="3" t="s">
        <v>12</v>
      </c>
      <c r="C243" s="164" t="s">
        <v>26</v>
      </c>
      <c r="D243" s="162">
        <v>8220100270</v>
      </c>
      <c r="E243" s="162">
        <v>611</v>
      </c>
      <c r="F243" s="162">
        <v>221</v>
      </c>
      <c r="G243" s="85" t="s">
        <v>83</v>
      </c>
      <c r="H243" s="78">
        <v>10600</v>
      </c>
      <c r="I243" s="78">
        <v>800</v>
      </c>
      <c r="J243" s="78">
        <v>890</v>
      </c>
      <c r="K243" s="78">
        <v>890</v>
      </c>
      <c r="L243" s="78">
        <v>890</v>
      </c>
      <c r="M243" s="78">
        <v>890</v>
      </c>
      <c r="N243" s="78">
        <v>890</v>
      </c>
      <c r="O243" s="78">
        <v>890</v>
      </c>
      <c r="P243" s="78">
        <v>890</v>
      </c>
      <c r="Q243" s="78">
        <v>890</v>
      </c>
      <c r="R243" s="78">
        <v>890</v>
      </c>
      <c r="S243" s="78">
        <v>890</v>
      </c>
      <c r="T243" s="78">
        <v>900</v>
      </c>
      <c r="U243" s="24">
        <f t="shared" si="80"/>
        <v>10600</v>
      </c>
    </row>
    <row r="244" spans="1:21" ht="12.75">
      <c r="A244" s="5" t="s">
        <v>42</v>
      </c>
      <c r="B244" s="3" t="s">
        <v>13</v>
      </c>
      <c r="C244" s="164" t="s">
        <v>26</v>
      </c>
      <c r="D244" s="162">
        <v>8220100270</v>
      </c>
      <c r="E244" s="162">
        <v>611</v>
      </c>
      <c r="F244" s="162">
        <v>223</v>
      </c>
      <c r="G244" s="87" t="s">
        <v>84</v>
      </c>
      <c r="H244" s="78">
        <v>121300</v>
      </c>
      <c r="I244" s="78">
        <v>10000</v>
      </c>
      <c r="J244" s="78">
        <v>15000</v>
      </c>
      <c r="K244" s="78">
        <v>10000</v>
      </c>
      <c r="L244" s="78">
        <v>10000</v>
      </c>
      <c r="M244" s="78">
        <v>8000</v>
      </c>
      <c r="N244" s="78">
        <v>3060</v>
      </c>
      <c r="O244" s="78">
        <v>5000</v>
      </c>
      <c r="P244" s="78">
        <v>5000</v>
      </c>
      <c r="Q244" s="78">
        <v>10000</v>
      </c>
      <c r="R244" s="78">
        <v>15140</v>
      </c>
      <c r="S244" s="78">
        <v>15000</v>
      </c>
      <c r="T244" s="78">
        <v>15100</v>
      </c>
      <c r="U244" s="24">
        <f t="shared" si="80"/>
        <v>121300</v>
      </c>
    </row>
    <row r="245" spans="1:21" ht="12.75">
      <c r="A245" s="5" t="s">
        <v>42</v>
      </c>
      <c r="B245" s="3" t="s">
        <v>13</v>
      </c>
      <c r="C245" s="164" t="s">
        <v>26</v>
      </c>
      <c r="D245" s="162">
        <v>8220100270</v>
      </c>
      <c r="E245" s="162">
        <v>611</v>
      </c>
      <c r="F245" s="162">
        <v>223</v>
      </c>
      <c r="G245" s="87" t="s">
        <v>85</v>
      </c>
      <c r="H245" s="78">
        <v>13000</v>
      </c>
      <c r="I245" s="78">
        <v>900</v>
      </c>
      <c r="J245" s="78">
        <v>900</v>
      </c>
      <c r="K245" s="78">
        <v>900</v>
      </c>
      <c r="L245" s="78">
        <v>900</v>
      </c>
      <c r="M245" s="78">
        <v>1000</v>
      </c>
      <c r="N245" s="78">
        <v>1600</v>
      </c>
      <c r="O245" s="78">
        <v>1600</v>
      </c>
      <c r="P245" s="78">
        <v>1500</v>
      </c>
      <c r="Q245" s="78">
        <v>1000</v>
      </c>
      <c r="R245" s="78">
        <v>900</v>
      </c>
      <c r="S245" s="78">
        <v>900</v>
      </c>
      <c r="T245" s="78">
        <v>900</v>
      </c>
      <c r="U245" s="24">
        <f t="shared" si="80"/>
        <v>13000</v>
      </c>
    </row>
    <row r="246" spans="1:21" ht="25.5">
      <c r="A246" s="83" t="s">
        <v>42</v>
      </c>
      <c r="B246" s="3" t="s">
        <v>13</v>
      </c>
      <c r="C246" s="164" t="s">
        <v>26</v>
      </c>
      <c r="D246" s="162">
        <v>8220100270</v>
      </c>
      <c r="E246" s="162">
        <v>611</v>
      </c>
      <c r="F246" s="162">
        <v>223</v>
      </c>
      <c r="G246" s="87" t="s">
        <v>81</v>
      </c>
      <c r="H246" s="78">
        <v>379000</v>
      </c>
      <c r="I246" s="78">
        <v>50000</v>
      </c>
      <c r="J246" s="78">
        <v>20000</v>
      </c>
      <c r="K246" s="78">
        <v>41200</v>
      </c>
      <c r="L246" s="78">
        <v>30000</v>
      </c>
      <c r="M246" s="78">
        <v>0</v>
      </c>
      <c r="N246" s="78">
        <v>0</v>
      </c>
      <c r="O246" s="78">
        <v>0</v>
      </c>
      <c r="P246" s="78">
        <v>0</v>
      </c>
      <c r="Q246" s="78">
        <v>0</v>
      </c>
      <c r="R246" s="78">
        <v>30000</v>
      </c>
      <c r="S246" s="78">
        <v>101400</v>
      </c>
      <c r="T246" s="78">
        <v>106400</v>
      </c>
      <c r="U246" s="24">
        <f t="shared" si="80"/>
        <v>379000</v>
      </c>
    </row>
    <row r="247" spans="1:21" ht="25.5">
      <c r="A247" s="5" t="s">
        <v>42</v>
      </c>
      <c r="B247" s="72" t="s">
        <v>71</v>
      </c>
      <c r="C247" s="164" t="s">
        <v>26</v>
      </c>
      <c r="D247" s="162">
        <v>8220100270</v>
      </c>
      <c r="E247" s="162">
        <v>611</v>
      </c>
      <c r="F247" s="162">
        <v>225</v>
      </c>
      <c r="G247" s="87" t="s">
        <v>48</v>
      </c>
      <c r="H247" s="78">
        <v>58000</v>
      </c>
      <c r="I247" s="78">
        <v>0</v>
      </c>
      <c r="J247" s="78">
        <v>0</v>
      </c>
      <c r="K247" s="78">
        <v>0</v>
      </c>
      <c r="L247" s="78">
        <v>17000</v>
      </c>
      <c r="M247" s="78">
        <v>6500</v>
      </c>
      <c r="N247" s="78">
        <v>0</v>
      </c>
      <c r="O247" s="78">
        <v>0</v>
      </c>
      <c r="P247" s="78">
        <v>0</v>
      </c>
      <c r="Q247" s="78">
        <v>0</v>
      </c>
      <c r="R247" s="78">
        <v>26600</v>
      </c>
      <c r="S247" s="78">
        <v>7900</v>
      </c>
      <c r="T247" s="78">
        <v>0</v>
      </c>
      <c r="U247" s="24">
        <f t="shared" si="80"/>
        <v>58000</v>
      </c>
    </row>
    <row r="248" spans="1:21" ht="12.75" hidden="1">
      <c r="A248" s="5" t="s">
        <v>42</v>
      </c>
      <c r="B248" s="3" t="s">
        <v>15</v>
      </c>
      <c r="C248" s="128" t="s">
        <v>26</v>
      </c>
      <c r="D248" s="127">
        <v>8220100270</v>
      </c>
      <c r="E248" s="127">
        <v>611</v>
      </c>
      <c r="F248" s="113">
        <v>226</v>
      </c>
      <c r="G248" s="87" t="s">
        <v>48</v>
      </c>
      <c r="H248" s="78">
        <v>0</v>
      </c>
      <c r="I248" s="78">
        <v>0</v>
      </c>
      <c r="J248" s="78">
        <v>0</v>
      </c>
      <c r="K248" s="78">
        <v>0</v>
      </c>
      <c r="L248" s="78">
        <v>0</v>
      </c>
      <c r="M248" s="78">
        <v>0</v>
      </c>
      <c r="N248" s="78">
        <v>0</v>
      </c>
      <c r="O248" s="78">
        <v>0</v>
      </c>
      <c r="P248" s="78">
        <v>0</v>
      </c>
      <c r="Q248" s="78">
        <v>0</v>
      </c>
      <c r="R248" s="78">
        <v>0</v>
      </c>
      <c r="S248" s="78">
        <v>0</v>
      </c>
      <c r="T248" s="78">
        <v>0</v>
      </c>
      <c r="U248" s="24">
        <f t="shared" si="80"/>
        <v>0</v>
      </c>
    </row>
    <row r="249" spans="1:21" ht="12.75">
      <c r="A249" s="5" t="s">
        <v>42</v>
      </c>
      <c r="B249" s="3" t="s">
        <v>16</v>
      </c>
      <c r="C249" s="164" t="s">
        <v>26</v>
      </c>
      <c r="D249" s="162">
        <v>8220100270</v>
      </c>
      <c r="E249" s="162">
        <v>611</v>
      </c>
      <c r="F249" s="144">
        <v>290</v>
      </c>
      <c r="G249" s="87" t="s">
        <v>89</v>
      </c>
      <c r="H249" s="78">
        <v>113300</v>
      </c>
      <c r="I249" s="78">
        <v>0</v>
      </c>
      <c r="J249" s="78">
        <v>0</v>
      </c>
      <c r="K249" s="78">
        <v>0</v>
      </c>
      <c r="L249" s="78">
        <v>28300</v>
      </c>
      <c r="M249" s="78">
        <v>0</v>
      </c>
      <c r="N249" s="78">
        <v>0</v>
      </c>
      <c r="O249" s="78">
        <v>25000</v>
      </c>
      <c r="P249" s="78">
        <v>0</v>
      </c>
      <c r="Q249" s="78">
        <v>0</v>
      </c>
      <c r="R249" s="78">
        <v>25000</v>
      </c>
      <c r="S249" s="78">
        <v>0</v>
      </c>
      <c r="T249" s="78">
        <v>35000</v>
      </c>
      <c r="U249" s="24">
        <f t="shared" si="80"/>
        <v>113300</v>
      </c>
    </row>
    <row r="250" spans="1:21" ht="12.75" hidden="1">
      <c r="A250" s="5" t="s">
        <v>42</v>
      </c>
      <c r="B250" s="3" t="s">
        <v>17</v>
      </c>
      <c r="C250" s="128" t="s">
        <v>26</v>
      </c>
      <c r="D250" s="127">
        <v>8220100270</v>
      </c>
      <c r="E250" s="127">
        <v>611</v>
      </c>
      <c r="F250" s="113">
        <v>340</v>
      </c>
      <c r="G250" s="87" t="s">
        <v>48</v>
      </c>
      <c r="H250" s="78">
        <v>0</v>
      </c>
      <c r="I250" s="78">
        <v>0</v>
      </c>
      <c r="J250" s="78">
        <v>0</v>
      </c>
      <c r="K250" s="78">
        <v>0</v>
      </c>
      <c r="L250" s="78">
        <v>0</v>
      </c>
      <c r="M250" s="78">
        <v>0</v>
      </c>
      <c r="N250" s="78">
        <v>0</v>
      </c>
      <c r="O250" s="78">
        <v>0</v>
      </c>
      <c r="P250" s="78">
        <v>0</v>
      </c>
      <c r="Q250" s="78">
        <v>0</v>
      </c>
      <c r="R250" s="78">
        <v>0</v>
      </c>
      <c r="S250" s="78">
        <v>0</v>
      </c>
      <c r="T250" s="78">
        <v>0</v>
      </c>
      <c r="U250" s="24">
        <f t="shared" si="80"/>
        <v>0</v>
      </c>
    </row>
    <row r="251" spans="1:21" ht="12.75" hidden="1">
      <c r="A251" s="5" t="s">
        <v>42</v>
      </c>
      <c r="B251" s="3" t="s">
        <v>18</v>
      </c>
      <c r="C251" s="128" t="s">
        <v>26</v>
      </c>
      <c r="D251" s="127">
        <v>8220100270</v>
      </c>
      <c r="E251" s="127">
        <v>611</v>
      </c>
      <c r="F251" s="113">
        <v>310</v>
      </c>
      <c r="G251" s="87" t="s">
        <v>48</v>
      </c>
      <c r="H251" s="78">
        <v>0</v>
      </c>
      <c r="I251" s="78">
        <v>0</v>
      </c>
      <c r="J251" s="78">
        <v>0</v>
      </c>
      <c r="K251" s="78">
        <v>0</v>
      </c>
      <c r="L251" s="78">
        <v>0</v>
      </c>
      <c r="M251" s="78">
        <v>0</v>
      </c>
      <c r="N251" s="78">
        <v>0</v>
      </c>
      <c r="O251" s="78">
        <v>0</v>
      </c>
      <c r="P251" s="78">
        <v>0</v>
      </c>
      <c r="Q251" s="78">
        <v>0</v>
      </c>
      <c r="R251" s="78">
        <v>0</v>
      </c>
      <c r="S251" s="78">
        <v>0</v>
      </c>
      <c r="T251" s="78">
        <v>0</v>
      </c>
      <c r="U251" s="24">
        <f t="shared" si="80"/>
        <v>0</v>
      </c>
    </row>
    <row r="252" spans="1:21" ht="12.75" hidden="1">
      <c r="A252" s="5" t="s">
        <v>42</v>
      </c>
      <c r="B252" s="3" t="s">
        <v>7</v>
      </c>
      <c r="C252" s="128" t="s">
        <v>26</v>
      </c>
      <c r="D252" s="127">
        <v>8220100270</v>
      </c>
      <c r="E252" s="127">
        <v>611</v>
      </c>
      <c r="F252" s="127">
        <v>211</v>
      </c>
      <c r="G252" s="85" t="s">
        <v>78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24">
        <f t="shared" si="80"/>
        <v>0</v>
      </c>
    </row>
    <row r="253" spans="1:21" ht="12.75" hidden="1">
      <c r="A253" s="5" t="s">
        <v>42</v>
      </c>
      <c r="B253" s="3" t="s">
        <v>9</v>
      </c>
      <c r="C253" s="128" t="s">
        <v>26</v>
      </c>
      <c r="D253" s="127">
        <v>8220100270</v>
      </c>
      <c r="E253" s="127">
        <v>611</v>
      </c>
      <c r="F253" s="127">
        <v>213</v>
      </c>
      <c r="G253" s="85" t="s">
        <v>78</v>
      </c>
      <c r="H253" s="78">
        <v>0</v>
      </c>
      <c r="I253" s="78">
        <v>0</v>
      </c>
      <c r="J253" s="78">
        <v>0</v>
      </c>
      <c r="K253" s="78">
        <v>0</v>
      </c>
      <c r="L253" s="78">
        <v>0</v>
      </c>
      <c r="M253" s="78">
        <v>0</v>
      </c>
      <c r="N253" s="78">
        <v>0</v>
      </c>
      <c r="O253" s="78">
        <v>0</v>
      </c>
      <c r="P253" s="78">
        <v>0</v>
      </c>
      <c r="Q253" s="78">
        <v>0</v>
      </c>
      <c r="R253" s="78">
        <v>0</v>
      </c>
      <c r="S253" s="78">
        <v>0</v>
      </c>
      <c r="T253" s="78">
        <v>0</v>
      </c>
      <c r="U253" s="24">
        <f t="shared" si="80"/>
        <v>0</v>
      </c>
    </row>
    <row r="254" spans="1:21" ht="25.5">
      <c r="A254" s="83" t="s">
        <v>42</v>
      </c>
      <c r="B254" s="3" t="s">
        <v>12</v>
      </c>
      <c r="C254" s="164" t="s">
        <v>26</v>
      </c>
      <c r="D254" s="162">
        <v>8220100270</v>
      </c>
      <c r="E254" s="162">
        <v>611</v>
      </c>
      <c r="F254" s="162">
        <v>221</v>
      </c>
      <c r="G254" s="87" t="s">
        <v>79</v>
      </c>
      <c r="H254" s="78">
        <v>51400</v>
      </c>
      <c r="I254" s="78">
        <v>4000</v>
      </c>
      <c r="J254" s="78">
        <v>4300</v>
      </c>
      <c r="K254" s="78">
        <v>4300</v>
      </c>
      <c r="L254" s="78">
        <v>4300</v>
      </c>
      <c r="M254" s="78">
        <v>4300</v>
      </c>
      <c r="N254" s="78">
        <v>4300</v>
      </c>
      <c r="O254" s="78">
        <v>4300</v>
      </c>
      <c r="P254" s="78">
        <v>4300</v>
      </c>
      <c r="Q254" s="78">
        <v>4300</v>
      </c>
      <c r="R254" s="78">
        <v>4300</v>
      </c>
      <c r="S254" s="78">
        <v>4300</v>
      </c>
      <c r="T254" s="78">
        <v>4400</v>
      </c>
      <c r="U254" s="24">
        <f t="shared" si="80"/>
        <v>51400</v>
      </c>
    </row>
    <row r="255" spans="1:21" ht="25.5">
      <c r="A255" s="83" t="s">
        <v>42</v>
      </c>
      <c r="B255" s="3" t="s">
        <v>12</v>
      </c>
      <c r="C255" s="164" t="s">
        <v>26</v>
      </c>
      <c r="D255" s="162">
        <v>8220100270</v>
      </c>
      <c r="E255" s="162">
        <v>611</v>
      </c>
      <c r="F255" s="162">
        <v>221</v>
      </c>
      <c r="G255" s="87" t="s">
        <v>80</v>
      </c>
      <c r="H255" s="78">
        <v>7200</v>
      </c>
      <c r="I255" s="78">
        <v>600</v>
      </c>
      <c r="J255" s="78">
        <v>600</v>
      </c>
      <c r="K255" s="78">
        <v>600</v>
      </c>
      <c r="L255" s="78">
        <v>600</v>
      </c>
      <c r="M255" s="78">
        <v>600</v>
      </c>
      <c r="N255" s="78">
        <v>600</v>
      </c>
      <c r="O255" s="78">
        <v>600</v>
      </c>
      <c r="P255" s="78">
        <v>600</v>
      </c>
      <c r="Q255" s="78">
        <v>600</v>
      </c>
      <c r="R255" s="78">
        <v>600</v>
      </c>
      <c r="S255" s="78">
        <v>600</v>
      </c>
      <c r="T255" s="78">
        <v>600</v>
      </c>
      <c r="U255" s="24">
        <f t="shared" si="80"/>
        <v>7200</v>
      </c>
    </row>
    <row r="256" spans="1:21" ht="25.5">
      <c r="A256" s="5" t="s">
        <v>42</v>
      </c>
      <c r="B256" s="3" t="s">
        <v>13</v>
      </c>
      <c r="C256" s="164" t="s">
        <v>26</v>
      </c>
      <c r="D256" s="162">
        <v>8220100270</v>
      </c>
      <c r="E256" s="162">
        <v>611</v>
      </c>
      <c r="F256" s="162">
        <v>223</v>
      </c>
      <c r="G256" s="87" t="s">
        <v>86</v>
      </c>
      <c r="H256" s="78">
        <v>54700</v>
      </c>
      <c r="I256" s="78">
        <v>5000</v>
      </c>
      <c r="J256" s="78">
        <v>5000</v>
      </c>
      <c r="K256" s="78">
        <v>3000</v>
      </c>
      <c r="L256" s="78">
        <v>3000</v>
      </c>
      <c r="M256" s="78">
        <v>3000</v>
      </c>
      <c r="N256" s="78">
        <v>1700</v>
      </c>
      <c r="O256" s="78">
        <v>4000</v>
      </c>
      <c r="P256" s="78">
        <v>4000</v>
      </c>
      <c r="Q256" s="78">
        <v>4000</v>
      </c>
      <c r="R256" s="78">
        <v>5000</v>
      </c>
      <c r="S256" s="78">
        <v>8500</v>
      </c>
      <c r="T256" s="78">
        <v>8500</v>
      </c>
      <c r="U256" s="24">
        <f t="shared" si="80"/>
        <v>54700</v>
      </c>
    </row>
    <row r="257" spans="1:21" ht="25.5">
      <c r="A257" s="5" t="s">
        <v>42</v>
      </c>
      <c r="B257" s="3" t="s">
        <v>13</v>
      </c>
      <c r="C257" s="164" t="s">
        <v>26</v>
      </c>
      <c r="D257" s="162">
        <v>8220100270</v>
      </c>
      <c r="E257" s="162">
        <v>611</v>
      </c>
      <c r="F257" s="162">
        <v>223</v>
      </c>
      <c r="G257" s="87" t="s">
        <v>87</v>
      </c>
      <c r="H257" s="78">
        <v>5000</v>
      </c>
      <c r="I257" s="78">
        <v>300</v>
      </c>
      <c r="J257" s="78">
        <v>300</v>
      </c>
      <c r="K257" s="78">
        <v>400</v>
      </c>
      <c r="L257" s="78">
        <v>400</v>
      </c>
      <c r="M257" s="78">
        <v>500</v>
      </c>
      <c r="N257" s="78">
        <v>500</v>
      </c>
      <c r="O257" s="78">
        <v>500</v>
      </c>
      <c r="P257" s="78">
        <v>500</v>
      </c>
      <c r="Q257" s="78">
        <v>400</v>
      </c>
      <c r="R257" s="78">
        <v>400</v>
      </c>
      <c r="S257" s="78">
        <v>400</v>
      </c>
      <c r="T257" s="78">
        <v>400</v>
      </c>
      <c r="U257" s="24">
        <f t="shared" si="80"/>
        <v>5000</v>
      </c>
    </row>
    <row r="258" spans="1:21" ht="25.5">
      <c r="A258" s="5" t="s">
        <v>42</v>
      </c>
      <c r="B258" s="3" t="s">
        <v>13</v>
      </c>
      <c r="C258" s="164" t="s">
        <v>26</v>
      </c>
      <c r="D258" s="162">
        <v>8220100270</v>
      </c>
      <c r="E258" s="162">
        <v>611</v>
      </c>
      <c r="F258" s="162">
        <v>223</v>
      </c>
      <c r="G258" s="87" t="s">
        <v>88</v>
      </c>
      <c r="H258" s="78">
        <v>27000</v>
      </c>
      <c r="I258" s="78">
        <v>4000</v>
      </c>
      <c r="J258" s="78">
        <v>4000</v>
      </c>
      <c r="K258" s="78">
        <v>3000</v>
      </c>
      <c r="L258" s="78">
        <v>3000</v>
      </c>
      <c r="M258" s="78">
        <v>0</v>
      </c>
      <c r="N258" s="78">
        <v>0</v>
      </c>
      <c r="O258" s="78">
        <v>0</v>
      </c>
      <c r="P258" s="78">
        <v>0</v>
      </c>
      <c r="Q258" s="78">
        <v>0</v>
      </c>
      <c r="R258" s="78">
        <v>3000</v>
      </c>
      <c r="S258" s="78">
        <v>4000</v>
      </c>
      <c r="T258" s="78">
        <v>6000</v>
      </c>
      <c r="U258" s="24">
        <f t="shared" si="80"/>
        <v>27000</v>
      </c>
    </row>
    <row r="259" spans="1:21" ht="25.5" hidden="1">
      <c r="A259" s="5" t="s">
        <v>42</v>
      </c>
      <c r="B259" s="72" t="s">
        <v>71</v>
      </c>
      <c r="C259" s="164" t="s">
        <v>26</v>
      </c>
      <c r="D259" s="162">
        <v>8220100270</v>
      </c>
      <c r="E259" s="162">
        <v>611</v>
      </c>
      <c r="F259" s="162">
        <v>225</v>
      </c>
      <c r="G259" s="85" t="s">
        <v>78</v>
      </c>
      <c r="H259" s="78">
        <v>0</v>
      </c>
      <c r="I259" s="78">
        <v>0</v>
      </c>
      <c r="J259" s="78">
        <v>0</v>
      </c>
      <c r="K259" s="78">
        <v>0</v>
      </c>
      <c r="L259" s="78">
        <v>0</v>
      </c>
      <c r="M259" s="78">
        <v>0</v>
      </c>
      <c r="N259" s="78">
        <v>0</v>
      </c>
      <c r="O259" s="78">
        <v>0</v>
      </c>
      <c r="P259" s="78">
        <v>0</v>
      </c>
      <c r="Q259" s="78">
        <v>0</v>
      </c>
      <c r="R259" s="78">
        <v>0</v>
      </c>
      <c r="S259" s="78">
        <v>0</v>
      </c>
      <c r="T259" s="78">
        <v>0</v>
      </c>
      <c r="U259" s="24">
        <f t="shared" si="80"/>
        <v>0</v>
      </c>
    </row>
    <row r="260" spans="1:21" ht="17.25" customHeight="1">
      <c r="A260" s="5" t="s">
        <v>42</v>
      </c>
      <c r="B260" s="3" t="s">
        <v>15</v>
      </c>
      <c r="C260" s="164" t="s">
        <v>26</v>
      </c>
      <c r="D260" s="162">
        <v>8220100270</v>
      </c>
      <c r="E260" s="162">
        <v>611</v>
      </c>
      <c r="F260" s="144">
        <v>226</v>
      </c>
      <c r="G260" s="85" t="s">
        <v>78</v>
      </c>
      <c r="H260" s="78">
        <v>80000</v>
      </c>
      <c r="I260" s="78">
        <v>0</v>
      </c>
      <c r="J260" s="78">
        <v>0</v>
      </c>
      <c r="K260" s="78">
        <v>0</v>
      </c>
      <c r="L260" s="78">
        <v>5000</v>
      </c>
      <c r="M260" s="78">
        <v>6000</v>
      </c>
      <c r="N260" s="78">
        <v>0</v>
      </c>
      <c r="O260" s="78">
        <v>8900</v>
      </c>
      <c r="P260" s="78">
        <v>0</v>
      </c>
      <c r="Q260" s="78">
        <v>24500</v>
      </c>
      <c r="R260" s="78">
        <v>18900</v>
      </c>
      <c r="S260" s="78">
        <v>16700</v>
      </c>
      <c r="T260" s="78">
        <v>0</v>
      </c>
      <c r="U260" s="24">
        <f t="shared" si="80"/>
        <v>80000</v>
      </c>
    </row>
    <row r="261" spans="1:21" ht="25.5">
      <c r="A261" s="5" t="s">
        <v>42</v>
      </c>
      <c r="B261" s="3" t="s">
        <v>16</v>
      </c>
      <c r="C261" s="164" t="s">
        <v>26</v>
      </c>
      <c r="D261" s="162">
        <v>8220100270</v>
      </c>
      <c r="E261" s="162">
        <v>611</v>
      </c>
      <c r="F261" s="153">
        <v>290</v>
      </c>
      <c r="G261" s="87" t="s">
        <v>90</v>
      </c>
      <c r="H261" s="78">
        <v>66600</v>
      </c>
      <c r="I261" s="78">
        <v>0</v>
      </c>
      <c r="J261" s="78">
        <v>0</v>
      </c>
      <c r="K261" s="78">
        <v>0</v>
      </c>
      <c r="L261" s="78">
        <v>16500</v>
      </c>
      <c r="M261" s="78">
        <v>0</v>
      </c>
      <c r="N261" s="78">
        <v>0</v>
      </c>
      <c r="O261" s="78">
        <v>16500</v>
      </c>
      <c r="P261" s="78">
        <v>0</v>
      </c>
      <c r="Q261" s="78">
        <v>0</v>
      </c>
      <c r="R261" s="78">
        <v>16500</v>
      </c>
      <c r="S261" s="78">
        <v>0</v>
      </c>
      <c r="T261" s="78">
        <v>17100</v>
      </c>
      <c r="U261" s="24">
        <f t="shared" si="80"/>
        <v>66600</v>
      </c>
    </row>
    <row r="262" spans="1:21" ht="16.5" customHeight="1">
      <c r="A262" s="5" t="s">
        <v>42</v>
      </c>
      <c r="B262" s="3" t="s">
        <v>17</v>
      </c>
      <c r="C262" s="164" t="s">
        <v>26</v>
      </c>
      <c r="D262" s="162">
        <v>8220100270</v>
      </c>
      <c r="E262" s="162">
        <v>611</v>
      </c>
      <c r="F262" s="153">
        <v>340</v>
      </c>
      <c r="G262" s="85" t="s">
        <v>78</v>
      </c>
      <c r="H262" s="78">
        <v>105000</v>
      </c>
      <c r="I262" s="78">
        <v>0</v>
      </c>
      <c r="J262" s="78">
        <v>0</v>
      </c>
      <c r="K262" s="78">
        <v>0</v>
      </c>
      <c r="L262" s="78">
        <v>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0</v>
      </c>
      <c r="S262" s="78">
        <v>34000</v>
      </c>
      <c r="T262" s="78">
        <v>71000</v>
      </c>
      <c r="U262" s="24">
        <f t="shared" si="80"/>
        <v>105000</v>
      </c>
    </row>
    <row r="263" spans="1:21" ht="15.75" customHeight="1" hidden="1">
      <c r="A263" s="5" t="s">
        <v>42</v>
      </c>
      <c r="B263" s="3" t="s">
        <v>18</v>
      </c>
      <c r="C263" s="128" t="s">
        <v>26</v>
      </c>
      <c r="D263" s="127">
        <v>8220100270</v>
      </c>
      <c r="E263" s="127">
        <v>611</v>
      </c>
      <c r="F263" s="120">
        <v>310</v>
      </c>
      <c r="G263" s="85" t="s">
        <v>78</v>
      </c>
      <c r="H263" s="78">
        <v>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78">
        <v>0</v>
      </c>
      <c r="R263" s="78">
        <v>0</v>
      </c>
      <c r="S263" s="78">
        <v>0</v>
      </c>
      <c r="T263" s="78">
        <v>0</v>
      </c>
      <c r="U263" s="24">
        <f t="shared" si="80"/>
        <v>0</v>
      </c>
    </row>
    <row r="264" spans="1:21" ht="12.75" hidden="1">
      <c r="A264" s="5" t="s">
        <v>42</v>
      </c>
      <c r="B264" s="3" t="s">
        <v>7</v>
      </c>
      <c r="C264" s="128" t="s">
        <v>26</v>
      </c>
      <c r="D264" s="127">
        <v>8220100270</v>
      </c>
      <c r="E264" s="127">
        <v>611</v>
      </c>
      <c r="F264" s="127">
        <v>211</v>
      </c>
      <c r="G264" s="85" t="s">
        <v>91</v>
      </c>
      <c r="H264" s="78">
        <v>0</v>
      </c>
      <c r="I264" s="78">
        <v>0</v>
      </c>
      <c r="J264" s="78">
        <v>0</v>
      </c>
      <c r="K264" s="78">
        <v>0</v>
      </c>
      <c r="L264" s="78">
        <v>0</v>
      </c>
      <c r="M264" s="78">
        <v>0</v>
      </c>
      <c r="N264" s="78">
        <v>0</v>
      </c>
      <c r="O264" s="78">
        <v>0</v>
      </c>
      <c r="P264" s="78">
        <v>0</v>
      </c>
      <c r="Q264" s="78">
        <v>0</v>
      </c>
      <c r="R264" s="78">
        <v>0</v>
      </c>
      <c r="S264" s="78">
        <v>0</v>
      </c>
      <c r="T264" s="78">
        <v>0</v>
      </c>
      <c r="U264" s="24">
        <f t="shared" si="80"/>
        <v>0</v>
      </c>
    </row>
    <row r="265" spans="1:21" ht="12.75" hidden="1">
      <c r="A265" s="5" t="s">
        <v>42</v>
      </c>
      <c r="B265" s="3" t="s">
        <v>9</v>
      </c>
      <c r="C265" s="128" t="s">
        <v>26</v>
      </c>
      <c r="D265" s="127">
        <v>8220100270</v>
      </c>
      <c r="E265" s="127">
        <v>611</v>
      </c>
      <c r="F265" s="127">
        <v>213</v>
      </c>
      <c r="G265" s="85" t="s">
        <v>91</v>
      </c>
      <c r="H265" s="89">
        <v>0</v>
      </c>
      <c r="I265" s="89">
        <v>0</v>
      </c>
      <c r="J265" s="89">
        <v>0</v>
      </c>
      <c r="K265" s="89">
        <v>0</v>
      </c>
      <c r="L265" s="89">
        <v>0</v>
      </c>
      <c r="M265" s="89">
        <v>0</v>
      </c>
      <c r="N265" s="89">
        <v>0</v>
      </c>
      <c r="O265" s="89">
        <v>0</v>
      </c>
      <c r="P265" s="89">
        <v>0</v>
      </c>
      <c r="Q265" s="89">
        <v>0</v>
      </c>
      <c r="R265" s="89">
        <v>0</v>
      </c>
      <c r="S265" s="89">
        <v>0</v>
      </c>
      <c r="T265" s="89">
        <v>0</v>
      </c>
      <c r="U265" s="24">
        <f t="shared" si="80"/>
        <v>0</v>
      </c>
    </row>
    <row r="266" spans="1:21" ht="12.75">
      <c r="A266" s="5"/>
      <c r="B266" s="88"/>
      <c r="C266" s="128"/>
      <c r="D266" s="127"/>
      <c r="E266" s="127"/>
      <c r="F266" s="127"/>
      <c r="G266" s="86"/>
      <c r="H266" s="89"/>
      <c r="I266" s="89"/>
      <c r="J266" s="89"/>
      <c r="K266" s="89"/>
      <c r="L266" s="89"/>
      <c r="M266" s="89"/>
      <c r="N266" s="89"/>
      <c r="O266" s="89"/>
      <c r="P266" s="89"/>
      <c r="Q266" s="89"/>
      <c r="R266" s="89"/>
      <c r="S266" s="89"/>
      <c r="T266" s="89"/>
      <c r="U266" s="24"/>
    </row>
    <row r="267" spans="1:21" ht="76.5">
      <c r="A267" s="5" t="s">
        <v>42</v>
      </c>
      <c r="B267" s="35" t="s">
        <v>151</v>
      </c>
      <c r="C267" s="148" t="s">
        <v>26</v>
      </c>
      <c r="D267" s="161">
        <v>8230000000</v>
      </c>
      <c r="E267" s="161"/>
      <c r="F267" s="161"/>
      <c r="G267" s="37"/>
      <c r="H267" s="39">
        <f>H268+H269+H270+H271+H272+H273</f>
        <v>3458700</v>
      </c>
      <c r="I267" s="39">
        <f aca="true" t="shared" si="81" ref="I267:T267">I268+I269+I270+I271+I272+I273</f>
        <v>287400</v>
      </c>
      <c r="J267" s="39">
        <f t="shared" si="81"/>
        <v>288300</v>
      </c>
      <c r="K267" s="39">
        <f t="shared" si="81"/>
        <v>288300</v>
      </c>
      <c r="L267" s="39">
        <f t="shared" si="81"/>
        <v>288300</v>
      </c>
      <c r="M267" s="39">
        <f t="shared" si="81"/>
        <v>288300</v>
      </c>
      <c r="N267" s="39">
        <f t="shared" si="81"/>
        <v>288300</v>
      </c>
      <c r="O267" s="39">
        <f t="shared" si="81"/>
        <v>288300</v>
      </c>
      <c r="P267" s="39">
        <f t="shared" si="81"/>
        <v>288300</v>
      </c>
      <c r="Q267" s="39">
        <f t="shared" si="81"/>
        <v>288300</v>
      </c>
      <c r="R267" s="39">
        <f t="shared" si="81"/>
        <v>288300</v>
      </c>
      <c r="S267" s="39">
        <f t="shared" si="81"/>
        <v>288300</v>
      </c>
      <c r="T267" s="39">
        <f t="shared" si="81"/>
        <v>288300</v>
      </c>
      <c r="U267" s="24">
        <f>I267+J267+K267+L267+M267+N267+O267+P267+Q267+R267+S267+T267</f>
        <v>3458700</v>
      </c>
    </row>
    <row r="268" spans="1:21" ht="31.5" customHeight="1">
      <c r="A268" s="5" t="s">
        <v>42</v>
      </c>
      <c r="B268" s="3" t="s">
        <v>7</v>
      </c>
      <c r="C268" s="170" t="s">
        <v>26</v>
      </c>
      <c r="D268" s="171">
        <v>8230110410</v>
      </c>
      <c r="E268" s="171">
        <v>611</v>
      </c>
      <c r="F268" s="171">
        <v>211</v>
      </c>
      <c r="G268" s="229" t="s">
        <v>152</v>
      </c>
      <c r="H268" s="89">
        <v>2656500</v>
      </c>
      <c r="I268" s="89">
        <v>221100</v>
      </c>
      <c r="J268" s="89">
        <v>221400</v>
      </c>
      <c r="K268" s="89">
        <v>221400</v>
      </c>
      <c r="L268" s="89">
        <v>221400</v>
      </c>
      <c r="M268" s="89">
        <v>221400</v>
      </c>
      <c r="N268" s="89">
        <v>221400</v>
      </c>
      <c r="O268" s="89">
        <v>221400</v>
      </c>
      <c r="P268" s="89">
        <v>221400</v>
      </c>
      <c r="Q268" s="89">
        <v>221400</v>
      </c>
      <c r="R268" s="89">
        <v>221400</v>
      </c>
      <c r="S268" s="89">
        <v>221400</v>
      </c>
      <c r="T268" s="89">
        <v>221400</v>
      </c>
      <c r="U268" s="24">
        <f>I268+J268+K268+L268+M268+N268+O268+P268+Q268+R268+S268+T268</f>
        <v>2656500</v>
      </c>
    </row>
    <row r="269" spans="1:21" ht="36" customHeight="1">
      <c r="A269" s="5" t="s">
        <v>42</v>
      </c>
      <c r="B269" s="3" t="s">
        <v>9</v>
      </c>
      <c r="C269" s="170" t="s">
        <v>26</v>
      </c>
      <c r="D269" s="171">
        <v>8230110410</v>
      </c>
      <c r="E269" s="171">
        <v>611</v>
      </c>
      <c r="F269" s="171">
        <v>213</v>
      </c>
      <c r="G269" s="230"/>
      <c r="H269" s="89">
        <v>802200</v>
      </c>
      <c r="I269" s="89">
        <v>66300</v>
      </c>
      <c r="J269" s="89">
        <v>66900</v>
      </c>
      <c r="K269" s="89">
        <v>66900</v>
      </c>
      <c r="L269" s="89">
        <v>66900</v>
      </c>
      <c r="M269" s="89">
        <v>66900</v>
      </c>
      <c r="N269" s="89">
        <v>66900</v>
      </c>
      <c r="O269" s="89">
        <v>66900</v>
      </c>
      <c r="P269" s="89">
        <v>66900</v>
      </c>
      <c r="Q269" s="89">
        <v>66900</v>
      </c>
      <c r="R269" s="89">
        <v>66900</v>
      </c>
      <c r="S269" s="89">
        <v>66900</v>
      </c>
      <c r="T269" s="89">
        <v>66900</v>
      </c>
      <c r="U269" s="24">
        <f>I269+J269+K269+L269+M269+N269+O269+P269+Q269+R269+S269+T269</f>
        <v>802200</v>
      </c>
    </row>
    <row r="270" spans="1:21" ht="46.5" customHeight="1" hidden="1">
      <c r="A270" s="5" t="s">
        <v>42</v>
      </c>
      <c r="B270" s="3" t="s">
        <v>7</v>
      </c>
      <c r="C270" s="128" t="s">
        <v>26</v>
      </c>
      <c r="D270" s="127">
        <v>8230110410</v>
      </c>
      <c r="E270" s="127">
        <v>611</v>
      </c>
      <c r="F270" s="127">
        <v>211</v>
      </c>
      <c r="G270" s="229"/>
      <c r="H270" s="89">
        <v>0</v>
      </c>
      <c r="I270" s="89">
        <v>0</v>
      </c>
      <c r="J270" s="89">
        <v>0</v>
      </c>
      <c r="K270" s="89">
        <v>0</v>
      </c>
      <c r="L270" s="89">
        <v>0</v>
      </c>
      <c r="M270" s="89">
        <v>0</v>
      </c>
      <c r="N270" s="89">
        <v>0</v>
      </c>
      <c r="O270" s="89">
        <v>0</v>
      </c>
      <c r="P270" s="89">
        <v>0</v>
      </c>
      <c r="Q270" s="89">
        <v>0</v>
      </c>
      <c r="R270" s="89">
        <v>0</v>
      </c>
      <c r="S270" s="89">
        <v>0</v>
      </c>
      <c r="T270" s="89">
        <v>0</v>
      </c>
      <c r="U270" s="24">
        <f aca="true" t="shared" si="82" ref="U270:U280">I270+J270+K270+L270+M270+N270+O270+P270+Q270+R270+S270+T270</f>
        <v>0</v>
      </c>
    </row>
    <row r="271" spans="1:21" ht="45.75" customHeight="1" hidden="1">
      <c r="A271" s="5" t="s">
        <v>42</v>
      </c>
      <c r="B271" s="3" t="s">
        <v>9</v>
      </c>
      <c r="C271" s="128" t="s">
        <v>26</v>
      </c>
      <c r="D271" s="127">
        <v>8230110410</v>
      </c>
      <c r="E271" s="127">
        <v>611</v>
      </c>
      <c r="F271" s="127">
        <v>213</v>
      </c>
      <c r="G271" s="230"/>
      <c r="H271" s="89">
        <v>0</v>
      </c>
      <c r="I271" s="89">
        <v>0</v>
      </c>
      <c r="J271" s="89">
        <v>0</v>
      </c>
      <c r="K271" s="89">
        <v>0</v>
      </c>
      <c r="L271" s="89">
        <v>0</v>
      </c>
      <c r="M271" s="89">
        <v>0</v>
      </c>
      <c r="N271" s="89">
        <v>0</v>
      </c>
      <c r="O271" s="89">
        <v>0</v>
      </c>
      <c r="P271" s="89">
        <v>0</v>
      </c>
      <c r="Q271" s="89">
        <v>0</v>
      </c>
      <c r="R271" s="89">
        <v>0</v>
      </c>
      <c r="S271" s="89">
        <v>0</v>
      </c>
      <c r="T271" s="89">
        <v>0</v>
      </c>
      <c r="U271" s="24">
        <f t="shared" si="82"/>
        <v>0</v>
      </c>
    </row>
    <row r="272" spans="1:21" ht="67.5" customHeight="1" hidden="1">
      <c r="A272" s="5" t="s">
        <v>42</v>
      </c>
      <c r="B272" s="3" t="s">
        <v>7</v>
      </c>
      <c r="C272" s="128" t="s">
        <v>26</v>
      </c>
      <c r="D272" s="127">
        <v>8230110410</v>
      </c>
      <c r="E272" s="127">
        <v>611</v>
      </c>
      <c r="F272" s="127">
        <v>211</v>
      </c>
      <c r="G272" s="229"/>
      <c r="H272" s="89">
        <v>0</v>
      </c>
      <c r="I272" s="89">
        <v>0</v>
      </c>
      <c r="J272" s="89">
        <v>0</v>
      </c>
      <c r="K272" s="89">
        <v>0</v>
      </c>
      <c r="L272" s="89">
        <v>0</v>
      </c>
      <c r="M272" s="89">
        <v>0</v>
      </c>
      <c r="N272" s="89">
        <v>0</v>
      </c>
      <c r="O272" s="89">
        <v>0</v>
      </c>
      <c r="P272" s="89">
        <v>0</v>
      </c>
      <c r="Q272" s="89">
        <v>0</v>
      </c>
      <c r="R272" s="89">
        <v>0</v>
      </c>
      <c r="S272" s="89">
        <v>0</v>
      </c>
      <c r="T272" s="89">
        <v>0</v>
      </c>
      <c r="U272" s="24">
        <f t="shared" si="82"/>
        <v>0</v>
      </c>
    </row>
    <row r="273" spans="1:21" ht="53.25" customHeight="1" hidden="1">
      <c r="A273" s="5" t="s">
        <v>42</v>
      </c>
      <c r="B273" s="3" t="s">
        <v>9</v>
      </c>
      <c r="C273" s="128" t="s">
        <v>26</v>
      </c>
      <c r="D273" s="127">
        <v>8230110410</v>
      </c>
      <c r="E273" s="127">
        <v>611</v>
      </c>
      <c r="F273" s="127">
        <v>213</v>
      </c>
      <c r="G273" s="230"/>
      <c r="H273" s="89">
        <v>0</v>
      </c>
      <c r="I273" s="89">
        <v>0</v>
      </c>
      <c r="J273" s="89">
        <v>0</v>
      </c>
      <c r="K273" s="89">
        <v>0</v>
      </c>
      <c r="L273" s="89">
        <v>0</v>
      </c>
      <c r="M273" s="89">
        <v>0</v>
      </c>
      <c r="N273" s="89">
        <v>0</v>
      </c>
      <c r="O273" s="89">
        <v>0</v>
      </c>
      <c r="P273" s="89">
        <v>0</v>
      </c>
      <c r="Q273" s="89">
        <v>0</v>
      </c>
      <c r="R273" s="89">
        <v>0</v>
      </c>
      <c r="S273" s="89">
        <v>0</v>
      </c>
      <c r="T273" s="89">
        <v>0</v>
      </c>
      <c r="U273" s="24">
        <f t="shared" si="82"/>
        <v>0</v>
      </c>
    </row>
    <row r="274" spans="1:21" ht="12.75" hidden="1">
      <c r="A274" s="5"/>
      <c r="B274" s="88"/>
      <c r="C274" s="128"/>
      <c r="D274" s="127"/>
      <c r="E274" s="127"/>
      <c r="F274" s="127"/>
      <c r="G274" s="86"/>
      <c r="H274" s="89"/>
      <c r="I274" s="89"/>
      <c r="J274" s="89"/>
      <c r="K274" s="89"/>
      <c r="L274" s="89"/>
      <c r="M274" s="89"/>
      <c r="N274" s="89"/>
      <c r="O274" s="89"/>
      <c r="P274" s="89"/>
      <c r="Q274" s="89"/>
      <c r="R274" s="89"/>
      <c r="S274" s="89"/>
      <c r="T274" s="89"/>
      <c r="U274" s="24">
        <f t="shared" si="82"/>
        <v>0</v>
      </c>
    </row>
    <row r="275" spans="1:21" ht="12.75" hidden="1">
      <c r="A275" s="5"/>
      <c r="B275" s="88"/>
      <c r="C275" s="128"/>
      <c r="D275" s="127"/>
      <c r="E275" s="127"/>
      <c r="F275" s="127"/>
      <c r="G275" s="86"/>
      <c r="H275" s="89"/>
      <c r="I275" s="89"/>
      <c r="J275" s="89"/>
      <c r="K275" s="89"/>
      <c r="L275" s="89"/>
      <c r="M275" s="89"/>
      <c r="N275" s="89"/>
      <c r="O275" s="89"/>
      <c r="P275" s="89"/>
      <c r="Q275" s="89"/>
      <c r="R275" s="89"/>
      <c r="S275" s="89"/>
      <c r="T275" s="89"/>
      <c r="U275" s="24">
        <f t="shared" si="82"/>
        <v>0</v>
      </c>
    </row>
    <row r="276" spans="1:21" ht="12.75" hidden="1">
      <c r="A276" s="5"/>
      <c r="B276" s="88"/>
      <c r="C276" s="128"/>
      <c r="D276" s="127"/>
      <c r="E276" s="127"/>
      <c r="F276" s="127"/>
      <c r="G276" s="86"/>
      <c r="H276" s="89"/>
      <c r="I276" s="89"/>
      <c r="J276" s="89"/>
      <c r="K276" s="89"/>
      <c r="L276" s="89"/>
      <c r="M276" s="89"/>
      <c r="N276" s="89"/>
      <c r="O276" s="89"/>
      <c r="P276" s="89"/>
      <c r="Q276" s="89"/>
      <c r="R276" s="89"/>
      <c r="S276" s="89"/>
      <c r="T276" s="89"/>
      <c r="U276" s="24">
        <f t="shared" si="82"/>
        <v>0</v>
      </c>
    </row>
    <row r="277" spans="1:21" ht="12.75" hidden="1">
      <c r="A277" s="5"/>
      <c r="B277" s="88"/>
      <c r="C277" s="128"/>
      <c r="D277" s="127"/>
      <c r="E277" s="127"/>
      <c r="F277" s="127"/>
      <c r="G277" s="86"/>
      <c r="H277" s="89"/>
      <c r="I277" s="89"/>
      <c r="J277" s="89"/>
      <c r="K277" s="89"/>
      <c r="L277" s="89"/>
      <c r="M277" s="89"/>
      <c r="N277" s="89"/>
      <c r="O277" s="89"/>
      <c r="P277" s="89"/>
      <c r="Q277" s="89"/>
      <c r="R277" s="89"/>
      <c r="S277" s="89"/>
      <c r="T277" s="89"/>
      <c r="U277" s="24">
        <f t="shared" si="82"/>
        <v>0</v>
      </c>
    </row>
    <row r="278" spans="1:21" ht="12.75" hidden="1">
      <c r="A278" s="5"/>
      <c r="B278" s="88"/>
      <c r="C278" s="128"/>
      <c r="D278" s="127"/>
      <c r="E278" s="127"/>
      <c r="F278" s="127"/>
      <c r="G278" s="86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24">
        <f t="shared" si="82"/>
        <v>0</v>
      </c>
    </row>
    <row r="279" spans="1:21" ht="12.75" hidden="1">
      <c r="A279" s="5"/>
      <c r="B279" s="88"/>
      <c r="C279" s="128"/>
      <c r="D279" s="127"/>
      <c r="E279" s="127"/>
      <c r="F279" s="127"/>
      <c r="G279" s="86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24">
        <f t="shared" si="82"/>
        <v>0</v>
      </c>
    </row>
    <row r="280" spans="1:21" ht="12.75" hidden="1">
      <c r="A280" s="5"/>
      <c r="B280" s="88"/>
      <c r="C280" s="128"/>
      <c r="D280" s="127"/>
      <c r="E280" s="127"/>
      <c r="F280" s="127"/>
      <c r="G280" s="86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24">
        <f t="shared" si="82"/>
        <v>0</v>
      </c>
    </row>
    <row r="281" spans="1:21" ht="12.75">
      <c r="A281" s="5"/>
      <c r="B281" s="88"/>
      <c r="C281" s="128"/>
      <c r="D281" s="127"/>
      <c r="E281" s="127"/>
      <c r="F281" s="127"/>
      <c r="G281" s="86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24"/>
    </row>
    <row r="282" spans="1:21" ht="76.5">
      <c r="A282" s="5" t="s">
        <v>42</v>
      </c>
      <c r="B282" s="35" t="s">
        <v>153</v>
      </c>
      <c r="C282" s="148" t="s">
        <v>26</v>
      </c>
      <c r="D282" s="161">
        <v>8240000000</v>
      </c>
      <c r="E282" s="161"/>
      <c r="F282" s="161"/>
      <c r="G282" s="37"/>
      <c r="H282" s="39">
        <f aca="true" t="shared" si="83" ref="H282:T282">H283</f>
        <v>414700</v>
      </c>
      <c r="I282" s="39">
        <f t="shared" si="83"/>
        <v>30800</v>
      </c>
      <c r="J282" s="39">
        <f t="shared" si="83"/>
        <v>13000</v>
      </c>
      <c r="K282" s="39">
        <f t="shared" si="83"/>
        <v>17800</v>
      </c>
      <c r="L282" s="39">
        <f t="shared" si="83"/>
        <v>20800</v>
      </c>
      <c r="M282" s="39">
        <f t="shared" si="83"/>
        <v>30800</v>
      </c>
      <c r="N282" s="39">
        <f t="shared" si="83"/>
        <v>10800</v>
      </c>
      <c r="O282" s="39">
        <f t="shared" si="83"/>
        <v>20300</v>
      </c>
      <c r="P282" s="39">
        <f t="shared" si="83"/>
        <v>20800</v>
      </c>
      <c r="Q282" s="39">
        <f t="shared" si="83"/>
        <v>20800</v>
      </c>
      <c r="R282" s="39">
        <f t="shared" si="83"/>
        <v>73200</v>
      </c>
      <c r="S282" s="39">
        <f t="shared" si="83"/>
        <v>61600</v>
      </c>
      <c r="T282" s="39">
        <f t="shared" si="83"/>
        <v>94000</v>
      </c>
      <c r="U282" s="24">
        <f>I282+J282+K282+L282+M282+N282+O282+P282+Q282+R282+S282+T282</f>
        <v>414700</v>
      </c>
    </row>
    <row r="283" spans="1:21" ht="12.75">
      <c r="A283" s="5" t="s">
        <v>42</v>
      </c>
      <c r="B283" s="3" t="s">
        <v>16</v>
      </c>
      <c r="C283" s="170" t="s">
        <v>26</v>
      </c>
      <c r="D283" s="171">
        <v>8240100320</v>
      </c>
      <c r="E283" s="171">
        <v>611</v>
      </c>
      <c r="F283" s="151">
        <v>290</v>
      </c>
      <c r="G283" s="86"/>
      <c r="H283" s="89">
        <v>414700</v>
      </c>
      <c r="I283" s="89">
        <v>30800</v>
      </c>
      <c r="J283" s="89">
        <v>13000</v>
      </c>
      <c r="K283" s="89">
        <v>17800</v>
      </c>
      <c r="L283" s="89">
        <v>20800</v>
      </c>
      <c r="M283" s="89">
        <v>30800</v>
      </c>
      <c r="N283" s="89">
        <v>10800</v>
      </c>
      <c r="O283" s="89">
        <v>20300</v>
      </c>
      <c r="P283" s="89">
        <v>20800</v>
      </c>
      <c r="Q283" s="89">
        <v>20800</v>
      </c>
      <c r="R283" s="89">
        <v>73200</v>
      </c>
      <c r="S283" s="89">
        <v>61600</v>
      </c>
      <c r="T283" s="89">
        <v>94000</v>
      </c>
      <c r="U283" s="24">
        <f>I283+J283+K283+L283+M283+N283+O283+P283+Q283+R283+S283+T283</f>
        <v>414700</v>
      </c>
    </row>
    <row r="284" spans="1:21" ht="12.75">
      <c r="A284" s="5"/>
      <c r="B284" s="88"/>
      <c r="C284" s="128"/>
      <c r="D284" s="127"/>
      <c r="E284" s="127"/>
      <c r="F284" s="113"/>
      <c r="G284" s="86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24"/>
    </row>
    <row r="285" spans="1:21" ht="38.25">
      <c r="A285" s="5" t="s">
        <v>42</v>
      </c>
      <c r="B285" s="90" t="s">
        <v>92</v>
      </c>
      <c r="C285" s="164" t="s">
        <v>26</v>
      </c>
      <c r="D285" s="162">
        <v>9410000000</v>
      </c>
      <c r="E285" s="162"/>
      <c r="F285" s="144"/>
      <c r="G285" s="86"/>
      <c r="H285" s="39">
        <f aca="true" t="shared" si="84" ref="H285:T285">H286</f>
        <v>100000</v>
      </c>
      <c r="I285" s="77">
        <f t="shared" si="84"/>
        <v>0</v>
      </c>
      <c r="J285" s="77">
        <f t="shared" si="84"/>
        <v>0</v>
      </c>
      <c r="K285" s="77">
        <f t="shared" si="84"/>
        <v>0</v>
      </c>
      <c r="L285" s="77">
        <f t="shared" si="84"/>
        <v>0</v>
      </c>
      <c r="M285" s="77">
        <f t="shared" si="84"/>
        <v>0</v>
      </c>
      <c r="N285" s="77">
        <f t="shared" si="84"/>
        <v>0</v>
      </c>
      <c r="O285" s="77">
        <f t="shared" si="84"/>
        <v>0</v>
      </c>
      <c r="P285" s="77">
        <f t="shared" si="84"/>
        <v>0</v>
      </c>
      <c r="Q285" s="77">
        <f t="shared" si="84"/>
        <v>0</v>
      </c>
      <c r="R285" s="77">
        <f t="shared" si="84"/>
        <v>0</v>
      </c>
      <c r="S285" s="77">
        <f t="shared" si="84"/>
        <v>0</v>
      </c>
      <c r="T285" s="77">
        <f t="shared" si="84"/>
        <v>100000</v>
      </c>
      <c r="U285" s="24">
        <f aca="true" t="shared" si="85" ref="U285:U292">I285+J285+K285+L285+M285+N285+O285+P285+Q285+R285+S285+T285</f>
        <v>100000</v>
      </c>
    </row>
    <row r="286" spans="1:21" ht="12.75">
      <c r="A286" s="5" t="s">
        <v>42</v>
      </c>
      <c r="B286" s="3" t="s">
        <v>18</v>
      </c>
      <c r="C286" s="164" t="s">
        <v>26</v>
      </c>
      <c r="D286" s="162">
        <v>9410051440</v>
      </c>
      <c r="E286" s="162">
        <v>540</v>
      </c>
      <c r="F286" s="162">
        <v>310</v>
      </c>
      <c r="G286" s="86"/>
      <c r="H286" s="89">
        <v>100000</v>
      </c>
      <c r="I286" s="89">
        <v>0</v>
      </c>
      <c r="J286" s="89">
        <v>0</v>
      </c>
      <c r="K286" s="89">
        <v>0</v>
      </c>
      <c r="L286" s="89">
        <v>0</v>
      </c>
      <c r="M286" s="89">
        <v>0</v>
      </c>
      <c r="N286" s="89">
        <v>0</v>
      </c>
      <c r="O286" s="89">
        <v>0</v>
      </c>
      <c r="P286" s="89">
        <v>0</v>
      </c>
      <c r="Q286" s="89">
        <v>0</v>
      </c>
      <c r="R286" s="89">
        <v>0</v>
      </c>
      <c r="S286" s="89">
        <v>0</v>
      </c>
      <c r="T286" s="89">
        <v>100000</v>
      </c>
      <c r="U286" s="24">
        <f t="shared" si="85"/>
        <v>100000</v>
      </c>
    </row>
    <row r="287" spans="1:21" ht="12.75">
      <c r="A287" s="5"/>
      <c r="B287" s="88"/>
      <c r="C287" s="128"/>
      <c r="D287" s="127"/>
      <c r="E287" s="127"/>
      <c r="F287" s="127"/>
      <c r="G287" s="86"/>
      <c r="H287" s="89"/>
      <c r="I287" s="89"/>
      <c r="J287" s="89"/>
      <c r="K287" s="89"/>
      <c r="L287" s="89"/>
      <c r="M287" s="89"/>
      <c r="N287" s="89"/>
      <c r="O287" s="89"/>
      <c r="P287" s="89"/>
      <c r="Q287" s="89"/>
      <c r="R287" s="89"/>
      <c r="S287" s="89"/>
      <c r="T287" s="89"/>
      <c r="U287" s="24"/>
    </row>
    <row r="288" spans="1:21" ht="89.25">
      <c r="A288" s="5" t="s">
        <v>42</v>
      </c>
      <c r="B288" s="35" t="s">
        <v>154</v>
      </c>
      <c r="C288" s="148" t="s">
        <v>26</v>
      </c>
      <c r="D288" s="161">
        <v>8400000000</v>
      </c>
      <c r="E288" s="161"/>
      <c r="F288" s="161"/>
      <c r="G288" s="37"/>
      <c r="H288" s="39">
        <f aca="true" t="shared" si="86" ref="H288:T288">H289</f>
        <v>10000</v>
      </c>
      <c r="I288" s="39">
        <f t="shared" si="86"/>
        <v>0</v>
      </c>
      <c r="J288" s="39">
        <f t="shared" si="86"/>
        <v>0</v>
      </c>
      <c r="K288" s="39">
        <f t="shared" si="86"/>
        <v>0</v>
      </c>
      <c r="L288" s="39">
        <f t="shared" si="86"/>
        <v>0</v>
      </c>
      <c r="M288" s="39">
        <f t="shared" si="86"/>
        <v>0</v>
      </c>
      <c r="N288" s="39">
        <f t="shared" si="86"/>
        <v>0</v>
      </c>
      <c r="O288" s="39">
        <f t="shared" si="86"/>
        <v>0</v>
      </c>
      <c r="P288" s="39">
        <f t="shared" si="86"/>
        <v>0</v>
      </c>
      <c r="Q288" s="39">
        <f t="shared" si="86"/>
        <v>0</v>
      </c>
      <c r="R288" s="39">
        <f t="shared" si="86"/>
        <v>0</v>
      </c>
      <c r="S288" s="39">
        <f t="shared" si="86"/>
        <v>10000</v>
      </c>
      <c r="T288" s="39">
        <f t="shared" si="86"/>
        <v>0</v>
      </c>
      <c r="U288" s="24">
        <f t="shared" si="85"/>
        <v>10000</v>
      </c>
    </row>
    <row r="289" spans="1:21" ht="12.75">
      <c r="A289" s="5" t="s">
        <v>42</v>
      </c>
      <c r="B289" s="3" t="s">
        <v>16</v>
      </c>
      <c r="C289" s="170" t="s">
        <v>26</v>
      </c>
      <c r="D289" s="171">
        <v>8410110290</v>
      </c>
      <c r="E289" s="171">
        <v>611</v>
      </c>
      <c r="F289" s="171">
        <v>290</v>
      </c>
      <c r="G289" s="86"/>
      <c r="H289" s="89">
        <v>10000</v>
      </c>
      <c r="I289" s="89">
        <v>0</v>
      </c>
      <c r="J289" s="89">
        <v>0</v>
      </c>
      <c r="K289" s="89">
        <v>0</v>
      </c>
      <c r="L289" s="89">
        <v>0</v>
      </c>
      <c r="M289" s="89">
        <v>0</v>
      </c>
      <c r="N289" s="89">
        <v>0</v>
      </c>
      <c r="O289" s="89">
        <v>0</v>
      </c>
      <c r="P289" s="89">
        <v>0</v>
      </c>
      <c r="Q289" s="89">
        <v>0</v>
      </c>
      <c r="R289" s="89">
        <v>0</v>
      </c>
      <c r="S289" s="89">
        <v>10000</v>
      </c>
      <c r="T289" s="89">
        <v>0</v>
      </c>
      <c r="U289" s="24">
        <f t="shared" si="85"/>
        <v>10000</v>
      </c>
    </row>
    <row r="290" spans="1:21" ht="12.75">
      <c r="A290" s="5"/>
      <c r="B290" s="88"/>
      <c r="C290" s="128"/>
      <c r="D290" s="127"/>
      <c r="E290" s="127"/>
      <c r="F290" s="127"/>
      <c r="G290" s="86"/>
      <c r="H290" s="89"/>
      <c r="I290" s="89"/>
      <c r="J290" s="89"/>
      <c r="K290" s="89"/>
      <c r="L290" s="89"/>
      <c r="M290" s="89"/>
      <c r="N290" s="89"/>
      <c r="O290" s="89"/>
      <c r="P290" s="89"/>
      <c r="Q290" s="89"/>
      <c r="R290" s="89"/>
      <c r="S290" s="89"/>
      <c r="T290" s="89"/>
      <c r="U290" s="24"/>
    </row>
    <row r="291" spans="1:21" ht="140.25">
      <c r="A291" s="5" t="s">
        <v>42</v>
      </c>
      <c r="B291" s="35" t="s">
        <v>155</v>
      </c>
      <c r="C291" s="148" t="s">
        <v>26</v>
      </c>
      <c r="D291" s="161">
        <v>8500000000</v>
      </c>
      <c r="E291" s="161"/>
      <c r="F291" s="161"/>
      <c r="G291" s="37"/>
      <c r="H291" s="39">
        <f aca="true" t="shared" si="87" ref="H291:T291">H292</f>
        <v>50000</v>
      </c>
      <c r="I291" s="39">
        <f t="shared" si="87"/>
        <v>0</v>
      </c>
      <c r="J291" s="39">
        <f t="shared" si="87"/>
        <v>0</v>
      </c>
      <c r="K291" s="39">
        <f t="shared" si="87"/>
        <v>0</v>
      </c>
      <c r="L291" s="39">
        <f t="shared" si="87"/>
        <v>50000</v>
      </c>
      <c r="M291" s="39">
        <f t="shared" si="87"/>
        <v>0</v>
      </c>
      <c r="N291" s="39">
        <f t="shared" si="87"/>
        <v>0</v>
      </c>
      <c r="O291" s="39">
        <f t="shared" si="87"/>
        <v>0</v>
      </c>
      <c r="P291" s="39">
        <f t="shared" si="87"/>
        <v>0</v>
      </c>
      <c r="Q291" s="39">
        <f t="shared" si="87"/>
        <v>0</v>
      </c>
      <c r="R291" s="39">
        <f t="shared" si="87"/>
        <v>0</v>
      </c>
      <c r="S291" s="39">
        <f t="shared" si="87"/>
        <v>0</v>
      </c>
      <c r="T291" s="39">
        <f t="shared" si="87"/>
        <v>0</v>
      </c>
      <c r="U291" s="24">
        <f t="shared" si="85"/>
        <v>50000</v>
      </c>
    </row>
    <row r="292" spans="1:21" ht="25.5">
      <c r="A292" s="5" t="s">
        <v>42</v>
      </c>
      <c r="B292" s="72" t="s">
        <v>71</v>
      </c>
      <c r="C292" s="170" t="s">
        <v>26</v>
      </c>
      <c r="D292" s="171">
        <v>8510110310</v>
      </c>
      <c r="E292" s="171">
        <v>244</v>
      </c>
      <c r="F292" s="171">
        <v>225</v>
      </c>
      <c r="G292" s="86"/>
      <c r="H292" s="78">
        <v>50000</v>
      </c>
      <c r="I292" s="78">
        <v>0</v>
      </c>
      <c r="J292" s="78">
        <v>0</v>
      </c>
      <c r="K292" s="78">
        <v>0</v>
      </c>
      <c r="L292" s="78">
        <v>50000</v>
      </c>
      <c r="M292" s="78">
        <v>0</v>
      </c>
      <c r="N292" s="78">
        <v>0</v>
      </c>
      <c r="O292" s="78">
        <v>0</v>
      </c>
      <c r="P292" s="78">
        <v>0</v>
      </c>
      <c r="Q292" s="78">
        <v>0</v>
      </c>
      <c r="R292" s="78">
        <v>0</v>
      </c>
      <c r="S292" s="78">
        <v>0</v>
      </c>
      <c r="T292" s="78">
        <v>0</v>
      </c>
      <c r="U292" s="24">
        <f t="shared" si="85"/>
        <v>50000</v>
      </c>
    </row>
    <row r="293" spans="1:21" ht="12.75">
      <c r="A293" s="5"/>
      <c r="B293" s="88"/>
      <c r="C293" s="128"/>
      <c r="D293" s="127"/>
      <c r="E293" s="127"/>
      <c r="F293" s="127"/>
      <c r="G293" s="86"/>
      <c r="H293" s="89"/>
      <c r="I293" s="89"/>
      <c r="J293" s="89"/>
      <c r="K293" s="89"/>
      <c r="L293" s="89"/>
      <c r="M293" s="89"/>
      <c r="N293" s="89"/>
      <c r="O293" s="89"/>
      <c r="P293" s="89"/>
      <c r="Q293" s="89"/>
      <c r="R293" s="89"/>
      <c r="S293" s="89"/>
      <c r="T293" s="89"/>
      <c r="U293" s="24"/>
    </row>
    <row r="294" spans="1:21" ht="12.75">
      <c r="A294" s="5"/>
      <c r="B294" s="29" t="s">
        <v>53</v>
      </c>
      <c r="C294" s="180" t="s">
        <v>26</v>
      </c>
      <c r="D294" s="127"/>
      <c r="E294" s="127"/>
      <c r="F294" s="127"/>
      <c r="G294" s="86"/>
      <c r="H294" s="92">
        <f aca="true" t="shared" si="88" ref="H294:T294">H291+H288+H285+H234</f>
        <v>12409900</v>
      </c>
      <c r="I294" s="91">
        <f t="shared" si="88"/>
        <v>995900</v>
      </c>
      <c r="J294" s="91">
        <f t="shared" si="88"/>
        <v>955190</v>
      </c>
      <c r="K294" s="91">
        <f t="shared" si="88"/>
        <v>973290</v>
      </c>
      <c r="L294" s="91">
        <f t="shared" si="88"/>
        <v>1081890</v>
      </c>
      <c r="M294" s="91">
        <f t="shared" si="88"/>
        <v>952790</v>
      </c>
      <c r="N294" s="91">
        <f t="shared" si="88"/>
        <v>914650</v>
      </c>
      <c r="O294" s="91">
        <f t="shared" si="88"/>
        <v>978790</v>
      </c>
      <c r="P294" s="91">
        <f t="shared" si="88"/>
        <v>928790</v>
      </c>
      <c r="Q294" s="91">
        <f t="shared" si="88"/>
        <v>957690</v>
      </c>
      <c r="R294" s="91">
        <f t="shared" si="88"/>
        <v>1111630</v>
      </c>
      <c r="S294" s="91">
        <f t="shared" si="88"/>
        <v>1157390</v>
      </c>
      <c r="T294" s="91">
        <f t="shared" si="88"/>
        <v>1401900</v>
      </c>
      <c r="U294" s="24">
        <f>I294+J294+K294+L294+M294+N294+O294+P294+Q294+R294+S294+T294</f>
        <v>12409900</v>
      </c>
    </row>
    <row r="295" spans="1:21" ht="12.75">
      <c r="A295" s="5"/>
      <c r="B295" s="88"/>
      <c r="C295" s="128"/>
      <c r="D295" s="127"/>
      <c r="E295" s="127"/>
      <c r="F295" s="127"/>
      <c r="G295" s="86"/>
      <c r="H295" s="89"/>
      <c r="I295" s="89"/>
      <c r="J295" s="89"/>
      <c r="K295" s="89"/>
      <c r="L295" s="89"/>
      <c r="M295" s="89"/>
      <c r="N295" s="89"/>
      <c r="O295" s="89"/>
      <c r="P295" s="89"/>
      <c r="Q295" s="89"/>
      <c r="R295" s="89"/>
      <c r="S295" s="89"/>
      <c r="T295" s="89"/>
      <c r="U295" s="24"/>
    </row>
    <row r="296" spans="1:21" ht="12.75">
      <c r="A296" s="53"/>
      <c r="B296" s="54" t="s">
        <v>93</v>
      </c>
      <c r="C296" s="141"/>
      <c r="D296" s="140"/>
      <c r="E296" s="140"/>
      <c r="F296" s="140"/>
      <c r="G296" s="93"/>
      <c r="H296" s="94">
        <f aca="true" t="shared" si="89" ref="H296:T296">H294</f>
        <v>12409900</v>
      </c>
      <c r="I296" s="94">
        <f t="shared" si="89"/>
        <v>995900</v>
      </c>
      <c r="J296" s="94">
        <f t="shared" si="89"/>
        <v>955190</v>
      </c>
      <c r="K296" s="94">
        <f t="shared" si="89"/>
        <v>973290</v>
      </c>
      <c r="L296" s="94">
        <f t="shared" si="89"/>
        <v>1081890</v>
      </c>
      <c r="M296" s="94">
        <f t="shared" si="89"/>
        <v>952790</v>
      </c>
      <c r="N296" s="94">
        <f t="shared" si="89"/>
        <v>914650</v>
      </c>
      <c r="O296" s="94">
        <f t="shared" si="89"/>
        <v>978790</v>
      </c>
      <c r="P296" s="94">
        <f t="shared" si="89"/>
        <v>928790</v>
      </c>
      <c r="Q296" s="94">
        <f t="shared" si="89"/>
        <v>957690</v>
      </c>
      <c r="R296" s="94">
        <f t="shared" si="89"/>
        <v>1111630</v>
      </c>
      <c r="S296" s="94">
        <f t="shared" si="89"/>
        <v>1157390</v>
      </c>
      <c r="T296" s="94">
        <f t="shared" si="89"/>
        <v>1401900</v>
      </c>
      <c r="U296" s="24">
        <f>I296+J296+K296+L296+M296+N296+O296+P296+Q296+R296+S296+T296</f>
        <v>12409900</v>
      </c>
    </row>
    <row r="297" spans="1:21" ht="12.75">
      <c r="A297" s="5"/>
      <c r="B297" s="88"/>
      <c r="C297" s="128"/>
      <c r="D297" s="127"/>
      <c r="E297" s="127"/>
      <c r="F297" s="127"/>
      <c r="G297" s="86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24"/>
    </row>
    <row r="298" spans="1:21" ht="114.75">
      <c r="A298" s="5" t="s">
        <v>42</v>
      </c>
      <c r="B298" s="35" t="s">
        <v>156</v>
      </c>
      <c r="C298" s="148" t="s">
        <v>50</v>
      </c>
      <c r="D298" s="161">
        <v>8600000000</v>
      </c>
      <c r="E298" s="161"/>
      <c r="F298" s="161"/>
      <c r="G298" s="37"/>
      <c r="H298" s="39">
        <f aca="true" t="shared" si="90" ref="H298:T298">H299</f>
        <v>209300</v>
      </c>
      <c r="I298" s="39">
        <f t="shared" si="90"/>
        <v>17400</v>
      </c>
      <c r="J298" s="39">
        <f t="shared" si="90"/>
        <v>17400</v>
      </c>
      <c r="K298" s="39">
        <f t="shared" si="90"/>
        <v>17400</v>
      </c>
      <c r="L298" s="39">
        <f t="shared" si="90"/>
        <v>17400</v>
      </c>
      <c r="M298" s="39">
        <f t="shared" si="90"/>
        <v>17400</v>
      </c>
      <c r="N298" s="39">
        <f t="shared" si="90"/>
        <v>17400</v>
      </c>
      <c r="O298" s="39">
        <f t="shared" si="90"/>
        <v>17400</v>
      </c>
      <c r="P298" s="39">
        <f t="shared" si="90"/>
        <v>17400</v>
      </c>
      <c r="Q298" s="39">
        <f t="shared" si="90"/>
        <v>17400</v>
      </c>
      <c r="R298" s="39">
        <f t="shared" si="90"/>
        <v>17400</v>
      </c>
      <c r="S298" s="39">
        <f t="shared" si="90"/>
        <v>17400</v>
      </c>
      <c r="T298" s="39">
        <f t="shared" si="90"/>
        <v>17900</v>
      </c>
      <c r="U298" s="24">
        <f>I298+J298+K298+L298+M298+N298+O298+P298+Q298+R298+S298+T298</f>
        <v>209300</v>
      </c>
    </row>
    <row r="299" spans="1:21" ht="51">
      <c r="A299" s="5" t="s">
        <v>42</v>
      </c>
      <c r="B299" s="8" t="s">
        <v>49</v>
      </c>
      <c r="C299" s="170" t="s">
        <v>50</v>
      </c>
      <c r="D299" s="171">
        <v>8610141210</v>
      </c>
      <c r="E299" s="171">
        <v>312</v>
      </c>
      <c r="F299" s="171">
        <v>263</v>
      </c>
      <c r="G299" s="86"/>
      <c r="H299" s="78">
        <v>209300</v>
      </c>
      <c r="I299" s="78">
        <v>17400</v>
      </c>
      <c r="J299" s="78">
        <v>17400</v>
      </c>
      <c r="K299" s="78">
        <v>17400</v>
      </c>
      <c r="L299" s="78">
        <v>17400</v>
      </c>
      <c r="M299" s="78">
        <v>17400</v>
      </c>
      <c r="N299" s="78">
        <v>17400</v>
      </c>
      <c r="O299" s="78">
        <v>17400</v>
      </c>
      <c r="P299" s="78">
        <v>17400</v>
      </c>
      <c r="Q299" s="78">
        <v>17400</v>
      </c>
      <c r="R299" s="78">
        <v>17400</v>
      </c>
      <c r="S299" s="78">
        <v>17400</v>
      </c>
      <c r="T299" s="78">
        <v>17900</v>
      </c>
      <c r="U299" s="24">
        <f>I299+J299+K299+L299+M299+N299+O299+P299+Q299+R299+S299+T299</f>
        <v>209300</v>
      </c>
    </row>
    <row r="300" spans="1:21" ht="12.75">
      <c r="A300" s="5"/>
      <c r="B300" s="88"/>
      <c r="C300" s="128"/>
      <c r="D300" s="127"/>
      <c r="E300" s="127"/>
      <c r="F300" s="127"/>
      <c r="G300" s="86"/>
      <c r="H300" s="89"/>
      <c r="I300" s="89"/>
      <c r="J300" s="89"/>
      <c r="K300" s="89"/>
      <c r="L300" s="89"/>
      <c r="M300" s="89"/>
      <c r="N300" s="89"/>
      <c r="O300" s="89"/>
      <c r="P300" s="89"/>
      <c r="Q300" s="89"/>
      <c r="R300" s="89"/>
      <c r="S300" s="89"/>
      <c r="T300" s="89"/>
      <c r="U300" s="24"/>
    </row>
    <row r="301" spans="1:21" ht="12.75">
      <c r="A301" s="5"/>
      <c r="B301" s="29" t="s">
        <v>53</v>
      </c>
      <c r="C301" s="180" t="s">
        <v>50</v>
      </c>
      <c r="D301" s="127"/>
      <c r="E301" s="127"/>
      <c r="F301" s="127"/>
      <c r="G301" s="86"/>
      <c r="H301" s="92">
        <f aca="true" t="shared" si="91" ref="H301:T301">H298</f>
        <v>209300</v>
      </c>
      <c r="I301" s="91">
        <f t="shared" si="91"/>
        <v>17400</v>
      </c>
      <c r="J301" s="91">
        <f t="shared" si="91"/>
        <v>17400</v>
      </c>
      <c r="K301" s="91">
        <f t="shared" si="91"/>
        <v>17400</v>
      </c>
      <c r="L301" s="91">
        <f t="shared" si="91"/>
        <v>17400</v>
      </c>
      <c r="M301" s="91">
        <f t="shared" si="91"/>
        <v>17400</v>
      </c>
      <c r="N301" s="91">
        <f t="shared" si="91"/>
        <v>17400</v>
      </c>
      <c r="O301" s="91">
        <f t="shared" si="91"/>
        <v>17400</v>
      </c>
      <c r="P301" s="91">
        <f t="shared" si="91"/>
        <v>17400</v>
      </c>
      <c r="Q301" s="91">
        <f t="shared" si="91"/>
        <v>17400</v>
      </c>
      <c r="R301" s="91">
        <f t="shared" si="91"/>
        <v>17400</v>
      </c>
      <c r="S301" s="91">
        <f t="shared" si="91"/>
        <v>17400</v>
      </c>
      <c r="T301" s="91">
        <f t="shared" si="91"/>
        <v>17900</v>
      </c>
      <c r="U301" s="24">
        <f>I301+J301+K301+L301+M301+N301+O301+P301+Q301+R301+S301+T301</f>
        <v>209300</v>
      </c>
    </row>
    <row r="302" spans="1:21" ht="12.75">
      <c r="A302" s="5"/>
      <c r="B302" s="76"/>
      <c r="C302" s="136"/>
      <c r="D302" s="127"/>
      <c r="E302" s="127"/>
      <c r="F302" s="127"/>
      <c r="G302" s="86"/>
      <c r="H302" s="89"/>
      <c r="I302" s="89"/>
      <c r="J302" s="89"/>
      <c r="K302" s="89"/>
      <c r="L302" s="89"/>
      <c r="M302" s="89"/>
      <c r="N302" s="89"/>
      <c r="O302" s="89"/>
      <c r="P302" s="89"/>
      <c r="Q302" s="89"/>
      <c r="R302" s="89"/>
      <c r="S302" s="89"/>
      <c r="T302" s="89"/>
      <c r="U302" s="24"/>
    </row>
    <row r="303" spans="1:21" ht="127.5">
      <c r="A303" s="5" t="s">
        <v>42</v>
      </c>
      <c r="B303" s="35" t="s">
        <v>157</v>
      </c>
      <c r="C303" s="148" t="s">
        <v>94</v>
      </c>
      <c r="D303" s="161">
        <v>8700000000</v>
      </c>
      <c r="E303" s="161"/>
      <c r="F303" s="161"/>
      <c r="G303" s="37"/>
      <c r="H303" s="39">
        <f aca="true" t="shared" si="92" ref="H303:T303">H304</f>
        <v>30000</v>
      </c>
      <c r="I303" s="39">
        <f t="shared" si="92"/>
        <v>0</v>
      </c>
      <c r="J303" s="39">
        <f t="shared" si="92"/>
        <v>0</v>
      </c>
      <c r="K303" s="39">
        <f t="shared" si="92"/>
        <v>0</v>
      </c>
      <c r="L303" s="39">
        <f t="shared" si="92"/>
        <v>30000</v>
      </c>
      <c r="M303" s="39">
        <f t="shared" si="92"/>
        <v>0</v>
      </c>
      <c r="N303" s="39">
        <f t="shared" si="92"/>
        <v>0</v>
      </c>
      <c r="O303" s="39">
        <f t="shared" si="92"/>
        <v>0</v>
      </c>
      <c r="P303" s="39">
        <f t="shared" si="92"/>
        <v>0</v>
      </c>
      <c r="Q303" s="39">
        <f t="shared" si="92"/>
        <v>0</v>
      </c>
      <c r="R303" s="39">
        <f t="shared" si="92"/>
        <v>0</v>
      </c>
      <c r="S303" s="39">
        <f t="shared" si="92"/>
        <v>0</v>
      </c>
      <c r="T303" s="39">
        <f t="shared" si="92"/>
        <v>0</v>
      </c>
      <c r="U303" s="24">
        <f>I303+J303+K303+L303+M303+N303+O303+P303+Q303+R303+S303+T303</f>
        <v>30000</v>
      </c>
    </row>
    <row r="304" spans="1:21" ht="12.75">
      <c r="A304" s="5" t="s">
        <v>42</v>
      </c>
      <c r="B304" s="3" t="s">
        <v>16</v>
      </c>
      <c r="C304" s="182" t="s">
        <v>94</v>
      </c>
      <c r="D304" s="171">
        <v>8710110300</v>
      </c>
      <c r="E304" s="171">
        <v>634</v>
      </c>
      <c r="F304" s="171">
        <v>290</v>
      </c>
      <c r="G304" s="86"/>
      <c r="H304" s="89">
        <v>30000</v>
      </c>
      <c r="I304" s="89">
        <v>0</v>
      </c>
      <c r="J304" s="89">
        <v>0</v>
      </c>
      <c r="K304" s="89">
        <v>0</v>
      </c>
      <c r="L304" s="89">
        <v>30000</v>
      </c>
      <c r="M304" s="89">
        <v>0</v>
      </c>
      <c r="N304" s="89">
        <v>0</v>
      </c>
      <c r="O304" s="89">
        <v>0</v>
      </c>
      <c r="P304" s="89">
        <v>0</v>
      </c>
      <c r="Q304" s="89">
        <v>0</v>
      </c>
      <c r="R304" s="89">
        <v>0</v>
      </c>
      <c r="S304" s="89">
        <v>0</v>
      </c>
      <c r="T304" s="89">
        <v>0</v>
      </c>
      <c r="U304" s="24">
        <f>I304+J304+K304+L304+M304+N304+O304+P304+Q304+R304+S304+T304</f>
        <v>30000</v>
      </c>
    </row>
    <row r="305" spans="1:21" ht="12.75">
      <c r="A305" s="5"/>
      <c r="B305" s="76"/>
      <c r="C305" s="180"/>
      <c r="D305" s="171"/>
      <c r="E305" s="171"/>
      <c r="F305" s="171"/>
      <c r="G305" s="86"/>
      <c r="H305" s="89"/>
      <c r="I305" s="89"/>
      <c r="J305" s="89"/>
      <c r="K305" s="89"/>
      <c r="L305" s="89"/>
      <c r="M305" s="89"/>
      <c r="N305" s="89"/>
      <c r="O305" s="89"/>
      <c r="P305" s="89"/>
      <c r="Q305" s="89"/>
      <c r="R305" s="89"/>
      <c r="S305" s="89"/>
      <c r="T305" s="89"/>
      <c r="U305" s="24"/>
    </row>
    <row r="306" spans="1:21" ht="12.75">
      <c r="A306" s="5"/>
      <c r="B306" s="29" t="s">
        <v>53</v>
      </c>
      <c r="C306" s="180" t="s">
        <v>94</v>
      </c>
      <c r="D306" s="171"/>
      <c r="E306" s="171"/>
      <c r="F306" s="171"/>
      <c r="G306" s="86"/>
      <c r="H306" s="92">
        <f aca="true" t="shared" si="93" ref="H306:T306">H303</f>
        <v>30000</v>
      </c>
      <c r="I306" s="91">
        <f t="shared" si="93"/>
        <v>0</v>
      </c>
      <c r="J306" s="91">
        <f t="shared" si="93"/>
        <v>0</v>
      </c>
      <c r="K306" s="91">
        <f t="shared" si="93"/>
        <v>0</v>
      </c>
      <c r="L306" s="91">
        <f t="shared" si="93"/>
        <v>30000</v>
      </c>
      <c r="M306" s="91">
        <f t="shared" si="93"/>
        <v>0</v>
      </c>
      <c r="N306" s="91">
        <f t="shared" si="93"/>
        <v>0</v>
      </c>
      <c r="O306" s="91">
        <f t="shared" si="93"/>
        <v>0</v>
      </c>
      <c r="P306" s="91">
        <f t="shared" si="93"/>
        <v>0</v>
      </c>
      <c r="Q306" s="91">
        <f t="shared" si="93"/>
        <v>0</v>
      </c>
      <c r="R306" s="91">
        <f t="shared" si="93"/>
        <v>0</v>
      </c>
      <c r="S306" s="91">
        <f t="shared" si="93"/>
        <v>0</v>
      </c>
      <c r="T306" s="91">
        <f t="shared" si="93"/>
        <v>0</v>
      </c>
      <c r="U306" s="24">
        <f>I306+J306+K306+L306+M306+N306+O306+P306+Q306+R306+S306+T306</f>
        <v>30000</v>
      </c>
    </row>
    <row r="307" spans="1:21" ht="12.75">
      <c r="A307" s="5"/>
      <c r="B307" s="76"/>
      <c r="C307" s="136"/>
      <c r="D307" s="127"/>
      <c r="E307" s="127"/>
      <c r="F307" s="127"/>
      <c r="G307" s="86"/>
      <c r="H307" s="89"/>
      <c r="I307" s="89"/>
      <c r="J307" s="89"/>
      <c r="K307" s="89"/>
      <c r="L307" s="89"/>
      <c r="M307" s="89"/>
      <c r="N307" s="89"/>
      <c r="O307" s="89"/>
      <c r="P307" s="89"/>
      <c r="Q307" s="89"/>
      <c r="R307" s="89"/>
      <c r="S307" s="89"/>
      <c r="T307" s="89"/>
      <c r="U307" s="24"/>
    </row>
    <row r="308" spans="1:21" ht="12.75">
      <c r="A308" s="53"/>
      <c r="B308" s="54" t="s">
        <v>95</v>
      </c>
      <c r="C308" s="143"/>
      <c r="D308" s="140"/>
      <c r="E308" s="140"/>
      <c r="F308" s="140"/>
      <c r="G308" s="93"/>
      <c r="H308" s="94">
        <f aca="true" t="shared" si="94" ref="H308:T308">H303+H298</f>
        <v>239300</v>
      </c>
      <c r="I308" s="94">
        <f t="shared" si="94"/>
        <v>17400</v>
      </c>
      <c r="J308" s="94">
        <f t="shared" si="94"/>
        <v>17400</v>
      </c>
      <c r="K308" s="94">
        <f t="shared" si="94"/>
        <v>17400</v>
      </c>
      <c r="L308" s="94">
        <f t="shared" si="94"/>
        <v>47400</v>
      </c>
      <c r="M308" s="94">
        <f t="shared" si="94"/>
        <v>17400</v>
      </c>
      <c r="N308" s="94">
        <f t="shared" si="94"/>
        <v>17400</v>
      </c>
      <c r="O308" s="94">
        <f t="shared" si="94"/>
        <v>17400</v>
      </c>
      <c r="P308" s="94">
        <f t="shared" si="94"/>
        <v>17400</v>
      </c>
      <c r="Q308" s="94">
        <f t="shared" si="94"/>
        <v>17400</v>
      </c>
      <c r="R308" s="94">
        <f t="shared" si="94"/>
        <v>17400</v>
      </c>
      <c r="S308" s="94">
        <f t="shared" si="94"/>
        <v>17400</v>
      </c>
      <c r="T308" s="94">
        <f t="shared" si="94"/>
        <v>17900</v>
      </c>
      <c r="U308" s="24">
        <f>I308+J308+K308+L308+M308+N308+O308+P308+Q308+R308+S308+T308</f>
        <v>239300</v>
      </c>
    </row>
    <row r="309" spans="1:21" ht="12.75">
      <c r="A309" s="5"/>
      <c r="B309" s="88"/>
      <c r="C309" s="128"/>
      <c r="D309" s="127"/>
      <c r="E309" s="127"/>
      <c r="F309" s="127"/>
      <c r="G309" s="86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24"/>
    </row>
    <row r="310" spans="1:21" ht="89.25">
      <c r="A310" s="5" t="s">
        <v>42</v>
      </c>
      <c r="B310" s="35" t="s">
        <v>158</v>
      </c>
      <c r="C310" s="148" t="s">
        <v>27</v>
      </c>
      <c r="D310" s="161">
        <v>8800000000</v>
      </c>
      <c r="E310" s="117"/>
      <c r="F310" s="117"/>
      <c r="G310" s="37"/>
      <c r="H310" s="39">
        <f>H312+H326+H329</f>
        <v>4850400</v>
      </c>
      <c r="I310" s="39">
        <f aca="true" t="shared" si="95" ref="I310:T310">I312+I326+I329</f>
        <v>381500</v>
      </c>
      <c r="J310" s="39">
        <f t="shared" si="95"/>
        <v>265560</v>
      </c>
      <c r="K310" s="39">
        <f t="shared" si="95"/>
        <v>288500</v>
      </c>
      <c r="L310" s="39">
        <f t="shared" si="95"/>
        <v>443200</v>
      </c>
      <c r="M310" s="39">
        <f t="shared" si="95"/>
        <v>275385</v>
      </c>
      <c r="N310" s="39">
        <f t="shared" si="95"/>
        <v>238900</v>
      </c>
      <c r="O310" s="39">
        <f t="shared" si="95"/>
        <v>426500</v>
      </c>
      <c r="P310" s="39">
        <f t="shared" si="95"/>
        <v>375900</v>
      </c>
      <c r="Q310" s="39">
        <f t="shared" si="95"/>
        <v>376000</v>
      </c>
      <c r="R310" s="39">
        <f t="shared" si="95"/>
        <v>587415</v>
      </c>
      <c r="S310" s="39">
        <f t="shared" si="95"/>
        <v>515600</v>
      </c>
      <c r="T310" s="39">
        <f t="shared" si="95"/>
        <v>675940</v>
      </c>
      <c r="U310" s="24">
        <f>I310+J310+K310+L310+M310+N310+O310+P310+Q310+R310+S310+T310</f>
        <v>4850400</v>
      </c>
    </row>
    <row r="311" spans="1:21" ht="12.75">
      <c r="A311" s="5"/>
      <c r="B311" s="71"/>
      <c r="C311" s="122"/>
      <c r="D311" s="123"/>
      <c r="E311" s="123"/>
      <c r="F311" s="123"/>
      <c r="G311" s="44"/>
      <c r="H311" s="77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24"/>
    </row>
    <row r="312" spans="1:21" ht="89.25">
      <c r="A312" s="5" t="s">
        <v>42</v>
      </c>
      <c r="B312" s="35" t="s">
        <v>159</v>
      </c>
      <c r="C312" s="148" t="s">
        <v>27</v>
      </c>
      <c r="D312" s="161">
        <v>8810000000</v>
      </c>
      <c r="E312" s="117"/>
      <c r="F312" s="117"/>
      <c r="G312" s="37"/>
      <c r="H312" s="39">
        <f aca="true" t="shared" si="96" ref="H312:T312">H313+H314+H315+H316+H317+H318+H319+H320+H321+H322+H323+H324</f>
        <v>4606400</v>
      </c>
      <c r="I312" s="39">
        <f t="shared" si="96"/>
        <v>371500</v>
      </c>
      <c r="J312" s="39">
        <f t="shared" si="96"/>
        <v>255560</v>
      </c>
      <c r="K312" s="39">
        <f t="shared" si="96"/>
        <v>286300</v>
      </c>
      <c r="L312" s="39">
        <f t="shared" si="96"/>
        <v>427100</v>
      </c>
      <c r="M312" s="39">
        <f t="shared" si="96"/>
        <v>245385</v>
      </c>
      <c r="N312" s="39">
        <f t="shared" si="96"/>
        <v>222800</v>
      </c>
      <c r="O312" s="39">
        <f t="shared" si="96"/>
        <v>410400</v>
      </c>
      <c r="P312" s="39">
        <f t="shared" si="96"/>
        <v>359800</v>
      </c>
      <c r="Q312" s="39">
        <f t="shared" si="96"/>
        <v>359900</v>
      </c>
      <c r="R312" s="39">
        <f t="shared" si="96"/>
        <v>557415</v>
      </c>
      <c r="S312" s="39">
        <f t="shared" si="96"/>
        <v>499500</v>
      </c>
      <c r="T312" s="39">
        <f t="shared" si="96"/>
        <v>610740</v>
      </c>
      <c r="U312" s="24">
        <f aca="true" t="shared" si="97" ref="U312:U324">I312+J312+K312+L312+M312+N312+O312+P312+Q312+R312+S312+T312</f>
        <v>4606400</v>
      </c>
    </row>
    <row r="313" spans="1:21" ht="12.75">
      <c r="A313" s="5" t="s">
        <v>42</v>
      </c>
      <c r="B313" s="3" t="s">
        <v>7</v>
      </c>
      <c r="C313" s="164" t="s">
        <v>27</v>
      </c>
      <c r="D313" s="162">
        <v>8810100330</v>
      </c>
      <c r="E313" s="162">
        <v>611</v>
      </c>
      <c r="F313" s="162">
        <v>211</v>
      </c>
      <c r="G313" s="44"/>
      <c r="H313" s="78">
        <v>3203100</v>
      </c>
      <c r="I313" s="89">
        <f>254100+13700</f>
        <v>267800</v>
      </c>
      <c r="J313" s="89">
        <f>154700+13700</f>
        <v>168400</v>
      </c>
      <c r="K313" s="89">
        <f>204700+13700</f>
        <v>218400</v>
      </c>
      <c r="L313" s="89">
        <f>254700+13700</f>
        <v>268400</v>
      </c>
      <c r="M313" s="89">
        <f>154700+13700</f>
        <v>168400</v>
      </c>
      <c r="N313" s="89">
        <f>154700+13700</f>
        <v>168400</v>
      </c>
      <c r="O313" s="89">
        <f>254700+13700</f>
        <v>268400</v>
      </c>
      <c r="P313" s="89">
        <f>254700+13700</f>
        <v>268400</v>
      </c>
      <c r="Q313" s="89">
        <f>254700+13700</f>
        <v>268400</v>
      </c>
      <c r="R313" s="89">
        <f>354700+13700</f>
        <v>368400</v>
      </c>
      <c r="S313" s="89">
        <v>320000</v>
      </c>
      <c r="T313" s="89">
        <f>436000+13700</f>
        <v>449700</v>
      </c>
      <c r="U313" s="24">
        <f t="shared" si="97"/>
        <v>3203100</v>
      </c>
    </row>
    <row r="314" spans="1:21" ht="12.75">
      <c r="A314" s="5" t="s">
        <v>42</v>
      </c>
      <c r="B314" s="3" t="s">
        <v>9</v>
      </c>
      <c r="C314" s="164" t="s">
        <v>27</v>
      </c>
      <c r="D314" s="162">
        <v>8810100330</v>
      </c>
      <c r="E314" s="162">
        <v>611</v>
      </c>
      <c r="F314" s="162">
        <v>213</v>
      </c>
      <c r="G314" s="44"/>
      <c r="H314" s="78">
        <v>967300</v>
      </c>
      <c r="I314" s="89">
        <f>76400+4100</f>
        <v>80500</v>
      </c>
      <c r="J314" s="89">
        <f>58400+4100</f>
        <v>62500</v>
      </c>
      <c r="K314" s="89">
        <f>46400+4100</f>
        <v>50500</v>
      </c>
      <c r="L314" s="89">
        <f>76400+4100</f>
        <v>80500</v>
      </c>
      <c r="M314" s="89">
        <f>61785+4100</f>
        <v>65885</v>
      </c>
      <c r="N314" s="89">
        <f>39400+4100</f>
        <v>43500</v>
      </c>
      <c r="O314" s="89">
        <f>76400+4100</f>
        <v>80500</v>
      </c>
      <c r="P314" s="89">
        <f>76400+4100</f>
        <v>80500</v>
      </c>
      <c r="Q314" s="89">
        <f>76400+4100</f>
        <v>80500</v>
      </c>
      <c r="R314" s="89">
        <f>91015+4100</f>
        <v>95115</v>
      </c>
      <c r="S314" s="89">
        <v>148100</v>
      </c>
      <c r="T314" s="89">
        <f>95100+4100</f>
        <v>99200</v>
      </c>
      <c r="U314" s="24">
        <f t="shared" si="97"/>
        <v>967300</v>
      </c>
    </row>
    <row r="315" spans="1:21" ht="12.75" hidden="1">
      <c r="A315" s="5" t="s">
        <v>42</v>
      </c>
      <c r="B315" s="3" t="s">
        <v>15</v>
      </c>
      <c r="C315" s="128" t="s">
        <v>27</v>
      </c>
      <c r="D315" s="127">
        <v>8810100330</v>
      </c>
      <c r="E315" s="127">
        <v>611</v>
      </c>
      <c r="F315" s="127">
        <v>226</v>
      </c>
      <c r="G315" s="44"/>
      <c r="H315" s="78">
        <v>0</v>
      </c>
      <c r="I315" s="89">
        <v>0</v>
      </c>
      <c r="J315" s="89">
        <v>0</v>
      </c>
      <c r="K315" s="89">
        <v>0</v>
      </c>
      <c r="L315" s="89">
        <v>0</v>
      </c>
      <c r="M315" s="89">
        <v>0</v>
      </c>
      <c r="N315" s="89">
        <v>0</v>
      </c>
      <c r="O315" s="89">
        <v>0</v>
      </c>
      <c r="P315" s="89">
        <v>0</v>
      </c>
      <c r="Q315" s="89">
        <v>0</v>
      </c>
      <c r="R315" s="89">
        <v>0</v>
      </c>
      <c r="S315" s="89">
        <v>0</v>
      </c>
      <c r="T315" s="89">
        <v>0</v>
      </c>
      <c r="U315" s="24">
        <f t="shared" si="97"/>
        <v>0</v>
      </c>
    </row>
    <row r="316" spans="1:21" ht="12.75">
      <c r="A316" s="96" t="s">
        <v>42</v>
      </c>
      <c r="B316" s="97" t="s">
        <v>12</v>
      </c>
      <c r="C316" s="164" t="s">
        <v>27</v>
      </c>
      <c r="D316" s="162">
        <v>8810100330</v>
      </c>
      <c r="E316" s="162">
        <v>611</v>
      </c>
      <c r="F316" s="162">
        <v>221</v>
      </c>
      <c r="G316" s="85" t="s">
        <v>96</v>
      </c>
      <c r="H316" s="78">
        <v>30000</v>
      </c>
      <c r="I316" s="89">
        <v>1500</v>
      </c>
      <c r="J316" s="89">
        <v>2500</v>
      </c>
      <c r="K316" s="89">
        <v>2500</v>
      </c>
      <c r="L316" s="89">
        <v>2500</v>
      </c>
      <c r="M316" s="89">
        <v>2500</v>
      </c>
      <c r="N316" s="89">
        <v>2500</v>
      </c>
      <c r="O316" s="89">
        <v>2500</v>
      </c>
      <c r="P316" s="89">
        <v>2500</v>
      </c>
      <c r="Q316" s="89">
        <v>2500</v>
      </c>
      <c r="R316" s="89">
        <v>2500</v>
      </c>
      <c r="S316" s="89">
        <v>2500</v>
      </c>
      <c r="T316" s="89">
        <v>3500</v>
      </c>
      <c r="U316" s="24">
        <f t="shared" si="97"/>
        <v>30000</v>
      </c>
    </row>
    <row r="317" spans="1:21" ht="12.75">
      <c r="A317" s="96" t="s">
        <v>42</v>
      </c>
      <c r="B317" s="97" t="s">
        <v>12</v>
      </c>
      <c r="C317" s="164" t="s">
        <v>27</v>
      </c>
      <c r="D317" s="162">
        <v>8810100330</v>
      </c>
      <c r="E317" s="162">
        <v>611</v>
      </c>
      <c r="F317" s="162">
        <v>221</v>
      </c>
      <c r="G317" s="85" t="s">
        <v>97</v>
      </c>
      <c r="H317" s="78">
        <v>29000</v>
      </c>
      <c r="I317" s="89">
        <v>2400</v>
      </c>
      <c r="J317" s="89">
        <v>2400</v>
      </c>
      <c r="K317" s="89">
        <v>2400</v>
      </c>
      <c r="L317" s="89">
        <v>2400</v>
      </c>
      <c r="M317" s="89">
        <v>2400</v>
      </c>
      <c r="N317" s="89">
        <v>2400</v>
      </c>
      <c r="O317" s="89">
        <v>2400</v>
      </c>
      <c r="P317" s="89">
        <v>2400</v>
      </c>
      <c r="Q317" s="89">
        <v>2400</v>
      </c>
      <c r="R317" s="89">
        <v>2400</v>
      </c>
      <c r="S317" s="89">
        <v>2400</v>
      </c>
      <c r="T317" s="89">
        <v>2600</v>
      </c>
      <c r="U317" s="24">
        <f t="shared" si="97"/>
        <v>29000</v>
      </c>
    </row>
    <row r="318" spans="1:21" ht="12.75">
      <c r="A318" s="5" t="s">
        <v>42</v>
      </c>
      <c r="B318" s="3" t="s">
        <v>13</v>
      </c>
      <c r="C318" s="164" t="s">
        <v>27</v>
      </c>
      <c r="D318" s="162">
        <v>8810100330</v>
      </c>
      <c r="E318" s="162">
        <v>611</v>
      </c>
      <c r="F318" s="162">
        <v>223</v>
      </c>
      <c r="G318" s="85" t="s">
        <v>98</v>
      </c>
      <c r="H318" s="78">
        <v>72000</v>
      </c>
      <c r="I318" s="89">
        <v>6500</v>
      </c>
      <c r="J318" s="89">
        <v>8000</v>
      </c>
      <c r="K318" s="89">
        <v>8000</v>
      </c>
      <c r="L318" s="89">
        <v>6000</v>
      </c>
      <c r="M318" s="89">
        <v>5000</v>
      </c>
      <c r="N318" s="89">
        <v>3000</v>
      </c>
      <c r="O318" s="89">
        <v>3000</v>
      </c>
      <c r="P318" s="89">
        <v>3000</v>
      </c>
      <c r="Q318" s="89">
        <v>5000</v>
      </c>
      <c r="R318" s="89">
        <v>8000</v>
      </c>
      <c r="S318" s="89">
        <v>8000</v>
      </c>
      <c r="T318" s="89">
        <v>8500</v>
      </c>
      <c r="U318" s="24">
        <f t="shared" si="97"/>
        <v>72000</v>
      </c>
    </row>
    <row r="319" spans="1:21" ht="12.75">
      <c r="A319" s="5" t="s">
        <v>42</v>
      </c>
      <c r="B319" s="3" t="s">
        <v>13</v>
      </c>
      <c r="C319" s="164" t="s">
        <v>27</v>
      </c>
      <c r="D319" s="162">
        <v>8810100330</v>
      </c>
      <c r="E319" s="162">
        <v>611</v>
      </c>
      <c r="F319" s="162">
        <v>223</v>
      </c>
      <c r="G319" s="85" t="s">
        <v>43</v>
      </c>
      <c r="H319" s="78">
        <v>19000</v>
      </c>
      <c r="I319" s="89">
        <v>1000</v>
      </c>
      <c r="J319" s="89">
        <v>1000</v>
      </c>
      <c r="K319" s="89">
        <v>1000</v>
      </c>
      <c r="L319" s="89">
        <v>1200</v>
      </c>
      <c r="M319" s="89">
        <v>1200</v>
      </c>
      <c r="N319" s="89">
        <v>3000</v>
      </c>
      <c r="O319" s="89">
        <v>3000</v>
      </c>
      <c r="P319" s="89">
        <v>3000</v>
      </c>
      <c r="Q319" s="89">
        <v>1100</v>
      </c>
      <c r="R319" s="89">
        <v>1000</v>
      </c>
      <c r="S319" s="89">
        <v>1000</v>
      </c>
      <c r="T319" s="89">
        <v>1500</v>
      </c>
      <c r="U319" s="24">
        <f t="shared" si="97"/>
        <v>19000</v>
      </c>
    </row>
    <row r="320" spans="1:21" ht="12.75">
      <c r="A320" s="5" t="s">
        <v>42</v>
      </c>
      <c r="B320" s="3" t="s">
        <v>13</v>
      </c>
      <c r="C320" s="164" t="s">
        <v>27</v>
      </c>
      <c r="D320" s="162">
        <v>8810100330</v>
      </c>
      <c r="E320" s="162">
        <v>611</v>
      </c>
      <c r="F320" s="162">
        <v>223</v>
      </c>
      <c r="G320" s="85" t="s">
        <v>45</v>
      </c>
      <c r="H320" s="78">
        <v>80000</v>
      </c>
      <c r="I320" s="89">
        <v>11800</v>
      </c>
      <c r="J320" s="89">
        <v>10760</v>
      </c>
      <c r="K320" s="89">
        <v>3500</v>
      </c>
      <c r="L320" s="89">
        <v>6500</v>
      </c>
      <c r="M320" s="89">
        <v>0</v>
      </c>
      <c r="N320" s="89">
        <v>0</v>
      </c>
      <c r="O320" s="89">
        <v>0</v>
      </c>
      <c r="P320" s="89">
        <v>0</v>
      </c>
      <c r="Q320" s="89">
        <v>0</v>
      </c>
      <c r="R320" s="89">
        <v>9600</v>
      </c>
      <c r="S320" s="89">
        <v>17500</v>
      </c>
      <c r="T320" s="89">
        <v>20340</v>
      </c>
      <c r="U320" s="24">
        <f t="shared" si="97"/>
        <v>80000</v>
      </c>
    </row>
    <row r="321" spans="1:21" ht="25.5">
      <c r="A321" s="5" t="s">
        <v>42</v>
      </c>
      <c r="B321" s="72" t="s">
        <v>71</v>
      </c>
      <c r="C321" s="164" t="s">
        <v>27</v>
      </c>
      <c r="D321" s="162">
        <v>8810100330</v>
      </c>
      <c r="E321" s="162">
        <v>611</v>
      </c>
      <c r="F321" s="162">
        <v>225</v>
      </c>
      <c r="G321" s="85"/>
      <c r="H321" s="78">
        <v>54000</v>
      </c>
      <c r="I321" s="78">
        <v>0</v>
      </c>
      <c r="J321" s="78">
        <v>0</v>
      </c>
      <c r="K321" s="78">
        <v>0</v>
      </c>
      <c r="L321" s="78">
        <v>29000</v>
      </c>
      <c r="M321" s="78">
        <v>0</v>
      </c>
      <c r="N321" s="78">
        <v>0</v>
      </c>
      <c r="O321" s="78">
        <v>0</v>
      </c>
      <c r="P321" s="78">
        <v>0</v>
      </c>
      <c r="Q321" s="78">
        <v>0</v>
      </c>
      <c r="R321" s="78">
        <v>25000</v>
      </c>
      <c r="S321" s="78">
        <v>0</v>
      </c>
      <c r="T321" s="78">
        <v>0</v>
      </c>
      <c r="U321" s="24">
        <f t="shared" si="97"/>
        <v>54000</v>
      </c>
    </row>
    <row r="322" spans="1:21" ht="12.75">
      <c r="A322" s="5" t="s">
        <v>42</v>
      </c>
      <c r="B322" s="3" t="s">
        <v>16</v>
      </c>
      <c r="C322" s="164" t="s">
        <v>27</v>
      </c>
      <c r="D322" s="162">
        <v>8810100330</v>
      </c>
      <c r="E322" s="162">
        <v>611</v>
      </c>
      <c r="F322" s="162">
        <v>290</v>
      </c>
      <c r="G322" s="85" t="s">
        <v>60</v>
      </c>
      <c r="H322" s="78">
        <v>102000</v>
      </c>
      <c r="I322" s="89">
        <v>0</v>
      </c>
      <c r="J322" s="89">
        <v>0</v>
      </c>
      <c r="K322" s="89">
        <v>0</v>
      </c>
      <c r="L322" s="89">
        <v>25600</v>
      </c>
      <c r="M322" s="89">
        <v>0</v>
      </c>
      <c r="N322" s="89">
        <v>0</v>
      </c>
      <c r="O322" s="89">
        <v>25600</v>
      </c>
      <c r="P322" s="89">
        <v>0</v>
      </c>
      <c r="Q322" s="89">
        <v>0</v>
      </c>
      <c r="R322" s="89">
        <v>25400</v>
      </c>
      <c r="S322" s="89">
        <v>0</v>
      </c>
      <c r="T322" s="89">
        <v>25400</v>
      </c>
      <c r="U322" s="24">
        <f t="shared" si="97"/>
        <v>102000</v>
      </c>
    </row>
    <row r="323" spans="1:21" ht="12.75" hidden="1">
      <c r="A323" s="5" t="s">
        <v>42</v>
      </c>
      <c r="B323" s="3" t="s">
        <v>18</v>
      </c>
      <c r="C323" s="128" t="s">
        <v>27</v>
      </c>
      <c r="D323" s="127">
        <v>8810100330</v>
      </c>
      <c r="E323" s="127">
        <v>611</v>
      </c>
      <c r="F323" s="127">
        <v>310</v>
      </c>
      <c r="G323" s="85"/>
      <c r="H323" s="78">
        <v>0</v>
      </c>
      <c r="I323" s="89">
        <v>0</v>
      </c>
      <c r="J323" s="89">
        <v>0</v>
      </c>
      <c r="K323" s="89">
        <v>0</v>
      </c>
      <c r="L323" s="89">
        <v>0</v>
      </c>
      <c r="M323" s="89">
        <v>0</v>
      </c>
      <c r="N323" s="89">
        <v>0</v>
      </c>
      <c r="O323" s="89">
        <v>0</v>
      </c>
      <c r="P323" s="89">
        <v>0</v>
      </c>
      <c r="Q323" s="89">
        <v>0</v>
      </c>
      <c r="R323" s="89">
        <v>0</v>
      </c>
      <c r="S323" s="89">
        <v>0</v>
      </c>
      <c r="T323" s="89">
        <v>0</v>
      </c>
      <c r="U323" s="24">
        <f t="shared" si="97"/>
        <v>0</v>
      </c>
    </row>
    <row r="324" spans="1:21" ht="12.75">
      <c r="A324" s="5" t="s">
        <v>42</v>
      </c>
      <c r="B324" s="3" t="s">
        <v>17</v>
      </c>
      <c r="C324" s="164" t="s">
        <v>27</v>
      </c>
      <c r="D324" s="162">
        <v>8810100330</v>
      </c>
      <c r="E324" s="162">
        <v>611</v>
      </c>
      <c r="F324" s="162">
        <v>340</v>
      </c>
      <c r="G324" s="85"/>
      <c r="H324" s="78">
        <v>50000</v>
      </c>
      <c r="I324" s="89">
        <v>0</v>
      </c>
      <c r="J324" s="89">
        <v>0</v>
      </c>
      <c r="K324" s="89">
        <v>0</v>
      </c>
      <c r="L324" s="89">
        <v>5000</v>
      </c>
      <c r="M324" s="89">
        <v>0</v>
      </c>
      <c r="N324" s="89">
        <v>0</v>
      </c>
      <c r="O324" s="89">
        <v>25000</v>
      </c>
      <c r="P324" s="89">
        <v>0</v>
      </c>
      <c r="Q324" s="89">
        <v>0</v>
      </c>
      <c r="R324" s="89">
        <v>20000</v>
      </c>
      <c r="S324" s="89">
        <v>0</v>
      </c>
      <c r="T324" s="89">
        <v>0</v>
      </c>
      <c r="U324" s="24">
        <f t="shared" si="97"/>
        <v>50000</v>
      </c>
    </row>
    <row r="325" spans="1:21" ht="12.75">
      <c r="A325" s="98"/>
      <c r="B325" s="72"/>
      <c r="C325" s="128"/>
      <c r="D325" s="127"/>
      <c r="E325" s="127"/>
      <c r="F325" s="127"/>
      <c r="G325" s="85"/>
      <c r="H325" s="78"/>
      <c r="I325" s="89"/>
      <c r="J325" s="89"/>
      <c r="K325" s="89"/>
      <c r="L325" s="89"/>
      <c r="M325" s="89"/>
      <c r="N325" s="89"/>
      <c r="O325" s="89"/>
      <c r="P325" s="89"/>
      <c r="Q325" s="89"/>
      <c r="R325" s="89"/>
      <c r="S325" s="89"/>
      <c r="T325" s="89"/>
      <c r="U325" s="24"/>
    </row>
    <row r="326" spans="1:21" ht="66" customHeight="1">
      <c r="A326" s="5" t="s">
        <v>42</v>
      </c>
      <c r="B326" s="35" t="s">
        <v>160</v>
      </c>
      <c r="C326" s="148" t="s">
        <v>27</v>
      </c>
      <c r="D326" s="161">
        <v>8820000000</v>
      </c>
      <c r="E326" s="161"/>
      <c r="F326" s="161"/>
      <c r="G326" s="37"/>
      <c r="H326" s="39">
        <f aca="true" t="shared" si="98" ref="H326:T326">H327</f>
        <v>234000</v>
      </c>
      <c r="I326" s="39">
        <f t="shared" si="98"/>
        <v>10000</v>
      </c>
      <c r="J326" s="39">
        <f t="shared" si="98"/>
        <v>10000</v>
      </c>
      <c r="K326" s="39">
        <f t="shared" si="98"/>
        <v>2200</v>
      </c>
      <c r="L326" s="39">
        <f t="shared" si="98"/>
        <v>16100</v>
      </c>
      <c r="M326" s="39">
        <f t="shared" si="98"/>
        <v>30000</v>
      </c>
      <c r="N326" s="39">
        <f t="shared" si="98"/>
        <v>16100</v>
      </c>
      <c r="O326" s="39">
        <f t="shared" si="98"/>
        <v>16100</v>
      </c>
      <c r="P326" s="39">
        <f t="shared" si="98"/>
        <v>16100</v>
      </c>
      <c r="Q326" s="39">
        <f t="shared" si="98"/>
        <v>16100</v>
      </c>
      <c r="R326" s="39">
        <f t="shared" si="98"/>
        <v>30000</v>
      </c>
      <c r="S326" s="39">
        <f t="shared" si="98"/>
        <v>16100</v>
      </c>
      <c r="T326" s="39">
        <f t="shared" si="98"/>
        <v>55200</v>
      </c>
      <c r="U326" s="24">
        <f>I326+J326+K326+L326+M326+N326+O326+P326+Q326+R326+S326+T326</f>
        <v>234000</v>
      </c>
    </row>
    <row r="327" spans="1:21" ht="14.25" customHeight="1">
      <c r="A327" s="5" t="s">
        <v>42</v>
      </c>
      <c r="B327" s="3" t="s">
        <v>16</v>
      </c>
      <c r="C327" s="170" t="s">
        <v>27</v>
      </c>
      <c r="D327" s="171">
        <v>8820100340</v>
      </c>
      <c r="E327" s="171">
        <v>611</v>
      </c>
      <c r="F327" s="171">
        <v>290</v>
      </c>
      <c r="G327" s="86"/>
      <c r="H327" s="89">
        <v>234000</v>
      </c>
      <c r="I327" s="89">
        <v>10000</v>
      </c>
      <c r="J327" s="89">
        <v>10000</v>
      </c>
      <c r="K327" s="89">
        <v>2200</v>
      </c>
      <c r="L327" s="89">
        <v>16100</v>
      </c>
      <c r="M327" s="89">
        <v>30000</v>
      </c>
      <c r="N327" s="89">
        <v>16100</v>
      </c>
      <c r="O327" s="89">
        <v>16100</v>
      </c>
      <c r="P327" s="89">
        <v>16100</v>
      </c>
      <c r="Q327" s="89">
        <v>16100</v>
      </c>
      <c r="R327" s="89">
        <v>30000</v>
      </c>
      <c r="S327" s="89">
        <v>16100</v>
      </c>
      <c r="T327" s="89">
        <v>55200</v>
      </c>
      <c r="U327" s="24">
        <f>I327+J327+K327+L327+M327+N327+O327+P327+Q327+R327+S327+T327</f>
        <v>234000</v>
      </c>
    </row>
    <row r="328" spans="1:21" ht="12.75">
      <c r="A328" s="5"/>
      <c r="B328" s="88"/>
      <c r="C328" s="128"/>
      <c r="D328" s="127"/>
      <c r="E328" s="127"/>
      <c r="F328" s="127"/>
      <c r="G328" s="86"/>
      <c r="H328" s="89"/>
      <c r="I328" s="89"/>
      <c r="J328" s="89"/>
      <c r="K328" s="89"/>
      <c r="L328" s="89"/>
      <c r="M328" s="89"/>
      <c r="N328" s="89"/>
      <c r="O328" s="89"/>
      <c r="P328" s="89"/>
      <c r="Q328" s="89"/>
      <c r="R328" s="89"/>
      <c r="S328" s="89"/>
      <c r="T328" s="89"/>
      <c r="U328" s="24"/>
    </row>
    <row r="329" spans="1:21" ht="89.25">
      <c r="A329" s="5" t="s">
        <v>42</v>
      </c>
      <c r="B329" s="35" t="s">
        <v>161</v>
      </c>
      <c r="C329" s="148" t="s">
        <v>27</v>
      </c>
      <c r="D329" s="161">
        <v>8830000000</v>
      </c>
      <c r="E329" s="124"/>
      <c r="F329" s="124"/>
      <c r="G329" s="183"/>
      <c r="H329" s="39">
        <f>H330</f>
        <v>10000</v>
      </c>
      <c r="I329" s="39">
        <f aca="true" t="shared" si="99" ref="I329:T329">I330</f>
        <v>0</v>
      </c>
      <c r="J329" s="39">
        <f t="shared" si="99"/>
        <v>0</v>
      </c>
      <c r="K329" s="39">
        <f t="shared" si="99"/>
        <v>0</v>
      </c>
      <c r="L329" s="39">
        <f t="shared" si="99"/>
        <v>0</v>
      </c>
      <c r="M329" s="39">
        <f t="shared" si="99"/>
        <v>0</v>
      </c>
      <c r="N329" s="39">
        <f t="shared" si="99"/>
        <v>0</v>
      </c>
      <c r="O329" s="39">
        <f t="shared" si="99"/>
        <v>0</v>
      </c>
      <c r="P329" s="39">
        <f t="shared" si="99"/>
        <v>0</v>
      </c>
      <c r="Q329" s="39">
        <f t="shared" si="99"/>
        <v>0</v>
      </c>
      <c r="R329" s="39">
        <f t="shared" si="99"/>
        <v>0</v>
      </c>
      <c r="S329" s="39">
        <f t="shared" si="99"/>
        <v>0</v>
      </c>
      <c r="T329" s="39">
        <f t="shared" si="99"/>
        <v>10000</v>
      </c>
      <c r="U329" s="24">
        <f>I329+J329+K329+L329+M329+N329+O329+P329+Q329+R329+S329+T329</f>
        <v>10000</v>
      </c>
    </row>
    <row r="330" spans="1:21" ht="12.75">
      <c r="A330" s="5" t="s">
        <v>42</v>
      </c>
      <c r="B330" s="3" t="s">
        <v>16</v>
      </c>
      <c r="C330" s="170" t="s">
        <v>27</v>
      </c>
      <c r="D330" s="171">
        <v>8830110390</v>
      </c>
      <c r="E330" s="162">
        <v>414</v>
      </c>
      <c r="F330" s="162">
        <v>290</v>
      </c>
      <c r="G330" s="86"/>
      <c r="H330" s="89">
        <v>10000</v>
      </c>
      <c r="I330" s="89">
        <v>0</v>
      </c>
      <c r="J330" s="89">
        <v>0</v>
      </c>
      <c r="K330" s="89">
        <v>0</v>
      </c>
      <c r="L330" s="89">
        <v>0</v>
      </c>
      <c r="M330" s="89">
        <v>0</v>
      </c>
      <c r="N330" s="89">
        <v>0</v>
      </c>
      <c r="O330" s="89">
        <v>0</v>
      </c>
      <c r="P330" s="89">
        <v>0</v>
      </c>
      <c r="Q330" s="89">
        <v>0</v>
      </c>
      <c r="R330" s="89">
        <v>0</v>
      </c>
      <c r="S330" s="89">
        <v>0</v>
      </c>
      <c r="T330" s="89">
        <v>10000</v>
      </c>
      <c r="U330" s="24">
        <f>I330+J330+K330+L330+M330+N330+O330+P330+Q330+R330+S330+T330</f>
        <v>10000</v>
      </c>
    </row>
    <row r="331" spans="1:21" ht="12.75">
      <c r="A331" s="5"/>
      <c r="B331" s="88"/>
      <c r="C331" s="128"/>
      <c r="D331" s="127"/>
      <c r="E331" s="127"/>
      <c r="F331" s="127"/>
      <c r="G331" s="86"/>
      <c r="H331" s="89"/>
      <c r="I331" s="89"/>
      <c r="J331" s="89"/>
      <c r="K331" s="89"/>
      <c r="L331" s="89"/>
      <c r="M331" s="89"/>
      <c r="N331" s="89"/>
      <c r="O331" s="89"/>
      <c r="P331" s="89"/>
      <c r="Q331" s="89"/>
      <c r="R331" s="89"/>
      <c r="S331" s="89"/>
      <c r="T331" s="89"/>
      <c r="U331" s="24"/>
    </row>
    <row r="332" spans="1:21" ht="89.25">
      <c r="A332" s="5" t="s">
        <v>42</v>
      </c>
      <c r="B332" s="35" t="s">
        <v>154</v>
      </c>
      <c r="C332" s="148" t="s">
        <v>27</v>
      </c>
      <c r="D332" s="161">
        <v>8400000000</v>
      </c>
      <c r="E332" s="161"/>
      <c r="F332" s="161"/>
      <c r="G332" s="37"/>
      <c r="H332" s="39">
        <f aca="true" t="shared" si="100" ref="H332:T332">H333</f>
        <v>10000</v>
      </c>
      <c r="I332" s="39">
        <f t="shared" si="100"/>
        <v>0</v>
      </c>
      <c r="J332" s="39">
        <f t="shared" si="100"/>
        <v>0</v>
      </c>
      <c r="K332" s="39">
        <f t="shared" si="100"/>
        <v>0</v>
      </c>
      <c r="L332" s="39">
        <f t="shared" si="100"/>
        <v>0</v>
      </c>
      <c r="M332" s="39">
        <f t="shared" si="100"/>
        <v>0</v>
      </c>
      <c r="N332" s="39">
        <f t="shared" si="100"/>
        <v>0</v>
      </c>
      <c r="O332" s="39">
        <f t="shared" si="100"/>
        <v>10000</v>
      </c>
      <c r="P332" s="39">
        <f t="shared" si="100"/>
        <v>0</v>
      </c>
      <c r="Q332" s="39">
        <f t="shared" si="100"/>
        <v>0</v>
      </c>
      <c r="R332" s="39">
        <f t="shared" si="100"/>
        <v>0</v>
      </c>
      <c r="S332" s="39">
        <f t="shared" si="100"/>
        <v>0</v>
      </c>
      <c r="T332" s="39">
        <f t="shared" si="100"/>
        <v>0</v>
      </c>
      <c r="U332" s="24">
        <f>I332+J332+K332+L332+M332+N332+O332+P332+Q332+R332+S332+T332</f>
        <v>10000</v>
      </c>
    </row>
    <row r="333" spans="1:21" ht="12.75">
      <c r="A333" s="5" t="s">
        <v>42</v>
      </c>
      <c r="B333" s="3" t="s">
        <v>16</v>
      </c>
      <c r="C333" s="170" t="s">
        <v>27</v>
      </c>
      <c r="D333" s="171">
        <v>8410110290</v>
      </c>
      <c r="E333" s="171">
        <v>611</v>
      </c>
      <c r="F333" s="171">
        <v>290</v>
      </c>
      <c r="G333" s="86"/>
      <c r="H333" s="89">
        <v>10000</v>
      </c>
      <c r="I333" s="89">
        <v>0</v>
      </c>
      <c r="J333" s="89">
        <v>0</v>
      </c>
      <c r="K333" s="89">
        <v>0</v>
      </c>
      <c r="L333" s="89">
        <v>0</v>
      </c>
      <c r="M333" s="89">
        <v>0</v>
      </c>
      <c r="N333" s="89">
        <v>0</v>
      </c>
      <c r="O333" s="89">
        <v>10000</v>
      </c>
      <c r="P333" s="89">
        <v>0</v>
      </c>
      <c r="Q333" s="89">
        <v>0</v>
      </c>
      <c r="R333" s="89">
        <v>0</v>
      </c>
      <c r="S333" s="89">
        <v>0</v>
      </c>
      <c r="T333" s="89">
        <v>0</v>
      </c>
      <c r="U333" s="24">
        <f>I333+J333+K333+L333+M333+N333+O333+P333+Q333+R333+S333+T333</f>
        <v>10000</v>
      </c>
    </row>
    <row r="334" spans="1:21" ht="12.75">
      <c r="A334" s="5"/>
      <c r="B334" s="88"/>
      <c r="C334" s="128"/>
      <c r="D334" s="127"/>
      <c r="E334" s="127"/>
      <c r="F334" s="127"/>
      <c r="G334" s="86"/>
      <c r="H334" s="89"/>
      <c r="I334" s="89"/>
      <c r="J334" s="89"/>
      <c r="K334" s="89"/>
      <c r="L334" s="89"/>
      <c r="M334" s="89"/>
      <c r="N334" s="89"/>
      <c r="O334" s="89"/>
      <c r="P334" s="89"/>
      <c r="Q334" s="89"/>
      <c r="R334" s="89"/>
      <c r="S334" s="89"/>
      <c r="T334" s="89"/>
      <c r="U334" s="24"/>
    </row>
    <row r="335" spans="1:21" ht="12.75">
      <c r="A335" s="5"/>
      <c r="B335" s="29" t="s">
        <v>53</v>
      </c>
      <c r="C335" s="180" t="s">
        <v>27</v>
      </c>
      <c r="D335" s="127"/>
      <c r="E335" s="127"/>
      <c r="F335" s="127"/>
      <c r="G335" s="86"/>
      <c r="H335" s="92">
        <f aca="true" t="shared" si="101" ref="H335:T335">H310+H332</f>
        <v>4860400</v>
      </c>
      <c r="I335" s="91">
        <f t="shared" si="101"/>
        <v>381500</v>
      </c>
      <c r="J335" s="91">
        <f t="shared" si="101"/>
        <v>265560</v>
      </c>
      <c r="K335" s="91">
        <f t="shared" si="101"/>
        <v>288500</v>
      </c>
      <c r="L335" s="91">
        <f t="shared" si="101"/>
        <v>443200</v>
      </c>
      <c r="M335" s="91">
        <f t="shared" si="101"/>
        <v>275385</v>
      </c>
      <c r="N335" s="91">
        <f t="shared" si="101"/>
        <v>238900</v>
      </c>
      <c r="O335" s="91">
        <f t="shared" si="101"/>
        <v>436500</v>
      </c>
      <c r="P335" s="91">
        <f t="shared" si="101"/>
        <v>375900</v>
      </c>
      <c r="Q335" s="91">
        <f t="shared" si="101"/>
        <v>376000</v>
      </c>
      <c r="R335" s="91">
        <f t="shared" si="101"/>
        <v>587415</v>
      </c>
      <c r="S335" s="91">
        <f t="shared" si="101"/>
        <v>515600</v>
      </c>
      <c r="T335" s="91">
        <f t="shared" si="101"/>
        <v>675940</v>
      </c>
      <c r="U335" s="24">
        <f aca="true" t="shared" si="102" ref="U335:U341">I335+J335+K335+L335+M335+N335+O335+P335+Q335+R335+S335+T335</f>
        <v>4860400</v>
      </c>
    </row>
    <row r="336" spans="1:21" ht="12.75">
      <c r="A336" s="5"/>
      <c r="B336" s="76"/>
      <c r="C336" s="136"/>
      <c r="D336" s="127"/>
      <c r="E336" s="127"/>
      <c r="F336" s="127"/>
      <c r="G336" s="86"/>
      <c r="H336" s="92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24">
        <f t="shared" si="102"/>
        <v>0</v>
      </c>
    </row>
    <row r="337" spans="1:21" ht="38.25" hidden="1">
      <c r="A337" s="5" t="s">
        <v>42</v>
      </c>
      <c r="B337" s="110" t="s">
        <v>109</v>
      </c>
      <c r="C337" s="116" t="s">
        <v>110</v>
      </c>
      <c r="D337" s="117">
        <v>9510010520</v>
      </c>
      <c r="E337" s="117"/>
      <c r="F337" s="117"/>
      <c r="G337" s="111"/>
      <c r="H337" s="112">
        <f>H338</f>
        <v>0</v>
      </c>
      <c r="I337" s="112">
        <f aca="true" t="shared" si="103" ref="I337:T337">I338</f>
        <v>0</v>
      </c>
      <c r="J337" s="112">
        <f t="shared" si="103"/>
        <v>0</v>
      </c>
      <c r="K337" s="112">
        <f t="shared" si="103"/>
        <v>0</v>
      </c>
      <c r="L337" s="112">
        <f t="shared" si="103"/>
        <v>0</v>
      </c>
      <c r="M337" s="112">
        <f t="shared" si="103"/>
        <v>0</v>
      </c>
      <c r="N337" s="112">
        <f t="shared" si="103"/>
        <v>0</v>
      </c>
      <c r="O337" s="112">
        <f t="shared" si="103"/>
        <v>0</v>
      </c>
      <c r="P337" s="112">
        <f t="shared" si="103"/>
        <v>0</v>
      </c>
      <c r="Q337" s="112">
        <f t="shared" si="103"/>
        <v>0</v>
      </c>
      <c r="R337" s="112">
        <f t="shared" si="103"/>
        <v>0</v>
      </c>
      <c r="S337" s="112">
        <f t="shared" si="103"/>
        <v>0</v>
      </c>
      <c r="T337" s="112">
        <f t="shared" si="103"/>
        <v>0</v>
      </c>
      <c r="U337" s="24">
        <f t="shared" si="102"/>
        <v>0</v>
      </c>
    </row>
    <row r="338" spans="1:21" ht="25.5" hidden="1">
      <c r="A338" s="5" t="s">
        <v>42</v>
      </c>
      <c r="B338" s="3" t="s">
        <v>16</v>
      </c>
      <c r="C338" s="142" t="s">
        <v>110</v>
      </c>
      <c r="D338" s="127">
        <v>9510010520</v>
      </c>
      <c r="E338" s="127">
        <v>870</v>
      </c>
      <c r="F338" s="127">
        <v>290</v>
      </c>
      <c r="G338" s="109" t="s">
        <v>111</v>
      </c>
      <c r="H338" s="89">
        <v>0</v>
      </c>
      <c r="I338" s="89">
        <v>0</v>
      </c>
      <c r="J338" s="89">
        <v>0</v>
      </c>
      <c r="K338" s="89">
        <v>0</v>
      </c>
      <c r="L338" s="89">
        <v>0</v>
      </c>
      <c r="M338" s="89">
        <v>0</v>
      </c>
      <c r="N338" s="89">
        <v>0</v>
      </c>
      <c r="O338" s="89">
        <v>0</v>
      </c>
      <c r="P338" s="89">
        <v>0</v>
      </c>
      <c r="Q338" s="89">
        <v>0</v>
      </c>
      <c r="R338" s="89">
        <v>0</v>
      </c>
      <c r="S338" s="89">
        <v>0</v>
      </c>
      <c r="T338" s="89">
        <v>0</v>
      </c>
      <c r="U338" s="24">
        <f t="shared" si="102"/>
        <v>0</v>
      </c>
    </row>
    <row r="339" spans="1:21" ht="12.75">
      <c r="A339" s="5"/>
      <c r="B339" s="76"/>
      <c r="C339" s="136"/>
      <c r="D339" s="127"/>
      <c r="E339" s="127"/>
      <c r="F339" s="127"/>
      <c r="G339" s="86"/>
      <c r="H339" s="91"/>
      <c r="I339" s="91"/>
      <c r="J339" s="91"/>
      <c r="K339" s="91"/>
      <c r="L339" s="91"/>
      <c r="M339" s="91"/>
      <c r="N339" s="91"/>
      <c r="O339" s="91"/>
      <c r="P339" s="91"/>
      <c r="Q339" s="91"/>
      <c r="R339" s="91"/>
      <c r="S339" s="91"/>
      <c r="T339" s="91"/>
      <c r="U339" s="24">
        <f t="shared" si="102"/>
        <v>0</v>
      </c>
    </row>
    <row r="340" spans="1:21" ht="12.75">
      <c r="A340" s="5"/>
      <c r="B340" s="76"/>
      <c r="C340" s="136"/>
      <c r="D340" s="127"/>
      <c r="E340" s="127"/>
      <c r="F340" s="127"/>
      <c r="G340" s="86"/>
      <c r="H340" s="91"/>
      <c r="I340" s="89"/>
      <c r="J340" s="89"/>
      <c r="K340" s="89"/>
      <c r="L340" s="89"/>
      <c r="M340" s="89"/>
      <c r="N340" s="89"/>
      <c r="O340" s="89"/>
      <c r="P340" s="89"/>
      <c r="Q340" s="89"/>
      <c r="R340" s="89"/>
      <c r="S340" s="89"/>
      <c r="T340" s="89"/>
      <c r="U340" s="24">
        <f t="shared" si="102"/>
        <v>0</v>
      </c>
    </row>
    <row r="341" spans="1:21" ht="12.75">
      <c r="A341" s="53"/>
      <c r="B341" s="54" t="s">
        <v>99</v>
      </c>
      <c r="C341" s="95"/>
      <c r="D341" s="84"/>
      <c r="E341" s="84"/>
      <c r="F341" s="84"/>
      <c r="G341" s="93"/>
      <c r="H341" s="94">
        <f aca="true" t="shared" si="104" ref="H341:T341">H335</f>
        <v>4860400</v>
      </c>
      <c r="I341" s="94">
        <f t="shared" si="104"/>
        <v>381500</v>
      </c>
      <c r="J341" s="94">
        <f t="shared" si="104"/>
        <v>265560</v>
      </c>
      <c r="K341" s="94">
        <f t="shared" si="104"/>
        <v>288500</v>
      </c>
      <c r="L341" s="94">
        <f t="shared" si="104"/>
        <v>443200</v>
      </c>
      <c r="M341" s="94">
        <f t="shared" si="104"/>
        <v>275385</v>
      </c>
      <c r="N341" s="94">
        <f t="shared" si="104"/>
        <v>238900</v>
      </c>
      <c r="O341" s="94">
        <f t="shared" si="104"/>
        <v>436500</v>
      </c>
      <c r="P341" s="94">
        <f t="shared" si="104"/>
        <v>375900</v>
      </c>
      <c r="Q341" s="94">
        <f t="shared" si="104"/>
        <v>376000</v>
      </c>
      <c r="R341" s="94">
        <f t="shared" si="104"/>
        <v>587415</v>
      </c>
      <c r="S341" s="94">
        <f t="shared" si="104"/>
        <v>515600</v>
      </c>
      <c r="T341" s="94">
        <f t="shared" si="104"/>
        <v>675940</v>
      </c>
      <c r="U341" s="24">
        <f t="shared" si="102"/>
        <v>4860400</v>
      </c>
    </row>
    <row r="342" spans="1:21" ht="12.75">
      <c r="A342" s="5"/>
      <c r="B342" s="76"/>
      <c r="C342" s="73"/>
      <c r="D342" s="50"/>
      <c r="E342" s="50"/>
      <c r="F342" s="50"/>
      <c r="G342" s="86"/>
      <c r="H342" s="91"/>
      <c r="I342" s="89"/>
      <c r="J342" s="89"/>
      <c r="K342" s="89"/>
      <c r="L342" s="89"/>
      <c r="M342" s="89"/>
      <c r="N342" s="89"/>
      <c r="O342" s="89"/>
      <c r="P342" s="89"/>
      <c r="Q342" s="89"/>
      <c r="R342" s="89"/>
      <c r="S342" s="89"/>
      <c r="T342" s="89"/>
      <c r="U342" s="24"/>
    </row>
    <row r="343" spans="1:21" ht="12.75">
      <c r="A343" s="5"/>
      <c r="B343" s="88"/>
      <c r="C343" s="49"/>
      <c r="D343" s="50"/>
      <c r="E343" s="50"/>
      <c r="F343" s="50"/>
      <c r="G343" s="86"/>
      <c r="H343" s="89"/>
      <c r="I343" s="89"/>
      <c r="J343" s="89"/>
      <c r="K343" s="89"/>
      <c r="L343" s="89"/>
      <c r="M343" s="89"/>
      <c r="N343" s="89"/>
      <c r="O343" s="89"/>
      <c r="P343" s="89"/>
      <c r="Q343" s="89"/>
      <c r="R343" s="89"/>
      <c r="S343" s="89"/>
      <c r="T343" s="89"/>
      <c r="U343" s="24"/>
    </row>
    <row r="344" spans="1:21" ht="15">
      <c r="A344" s="5"/>
      <c r="B344" s="231" t="s">
        <v>28</v>
      </c>
      <c r="C344" s="231"/>
      <c r="D344" s="231"/>
      <c r="E344" s="231"/>
      <c r="F344" s="231"/>
      <c r="G344" s="232"/>
      <c r="H344" s="99">
        <f>H111+H119+H139+H167+H221+H232+H296+H308+H341+H337</f>
        <v>51009000</v>
      </c>
      <c r="I344" s="99">
        <f aca="true" t="shared" si="105" ref="I344:T344">I111+I119+I139+I167+I221+I232+I296+I308+I341+I337</f>
        <v>2496075</v>
      </c>
      <c r="J344" s="99">
        <f t="shared" si="105"/>
        <v>2498875</v>
      </c>
      <c r="K344" s="99">
        <f t="shared" si="105"/>
        <v>2664775</v>
      </c>
      <c r="L344" s="99">
        <f t="shared" si="105"/>
        <v>3663165</v>
      </c>
      <c r="M344" s="99">
        <f t="shared" si="105"/>
        <v>2955175</v>
      </c>
      <c r="N344" s="99">
        <f t="shared" si="105"/>
        <v>2592325</v>
      </c>
      <c r="O344" s="99">
        <f t="shared" si="105"/>
        <v>3242015</v>
      </c>
      <c r="P344" s="99">
        <f t="shared" si="105"/>
        <v>4291975</v>
      </c>
      <c r="Q344" s="99">
        <f t="shared" si="105"/>
        <v>3129915</v>
      </c>
      <c r="R344" s="99">
        <f t="shared" si="105"/>
        <v>6381430</v>
      </c>
      <c r="S344" s="99">
        <f t="shared" si="105"/>
        <v>7194868</v>
      </c>
      <c r="T344" s="99">
        <f t="shared" si="105"/>
        <v>9898407</v>
      </c>
      <c r="U344" s="24">
        <f>I344+J344+K344+L344+M344+N344+O344+P344+Q344+R344+S344+T344</f>
        <v>51009000</v>
      </c>
    </row>
    <row r="347" spans="1:11" ht="12.75">
      <c r="A347" s="226" t="s">
        <v>162</v>
      </c>
      <c r="B347" s="226"/>
      <c r="C347" s="226"/>
      <c r="D347" s="226"/>
      <c r="E347" s="226"/>
      <c r="F347" s="226"/>
      <c r="G347" s="226"/>
      <c r="K347" t="s">
        <v>163</v>
      </c>
    </row>
    <row r="348" spans="1:7" ht="12.75">
      <c r="A348" s="184"/>
      <c r="B348" s="184"/>
      <c r="C348" s="184"/>
      <c r="D348" s="184"/>
      <c r="E348" s="184"/>
      <c r="F348" s="184"/>
      <c r="G348" s="184"/>
    </row>
    <row r="349" spans="1:7" ht="12.75">
      <c r="A349" s="184"/>
      <c r="B349" s="184"/>
      <c r="C349" s="184"/>
      <c r="D349" s="184"/>
      <c r="E349" s="184"/>
      <c r="F349" s="184"/>
      <c r="G349" s="184"/>
    </row>
    <row r="350" spans="1:7" ht="12.75">
      <c r="A350" s="184"/>
      <c r="B350" s="184"/>
      <c r="C350" s="184"/>
      <c r="D350" s="184"/>
      <c r="E350" s="184"/>
      <c r="F350" s="184"/>
      <c r="G350" s="184"/>
    </row>
    <row r="354" spans="1:4" ht="12.75">
      <c r="A354" s="226" t="s">
        <v>164</v>
      </c>
      <c r="B354" s="226"/>
      <c r="C354" s="226"/>
      <c r="D354" s="226"/>
    </row>
    <row r="355" spans="1:11" ht="12.75">
      <c r="A355" s="226" t="s">
        <v>165</v>
      </c>
      <c r="B355" s="226"/>
      <c r="C355" s="226"/>
      <c r="D355" s="226"/>
      <c r="E355" s="226"/>
      <c r="F355" s="226"/>
      <c r="G355" s="226"/>
      <c r="K355" t="s">
        <v>166</v>
      </c>
    </row>
  </sheetData>
  <sheetProtection/>
  <mergeCells count="24">
    <mergeCell ref="B344:G344"/>
    <mergeCell ref="I4:I5"/>
    <mergeCell ref="J4:J5"/>
    <mergeCell ref="G268:G269"/>
    <mergeCell ref="G270:G271"/>
    <mergeCell ref="G272:G273"/>
    <mergeCell ref="A4:A5"/>
    <mergeCell ref="H4:H5"/>
    <mergeCell ref="B4:B5"/>
    <mergeCell ref="C4:G4"/>
    <mergeCell ref="P4:P5"/>
    <mergeCell ref="Q4:Q5"/>
    <mergeCell ref="R4:R5"/>
    <mergeCell ref="K4:K5"/>
    <mergeCell ref="A347:G347"/>
    <mergeCell ref="A354:D354"/>
    <mergeCell ref="A355:G355"/>
    <mergeCell ref="A2:T2"/>
    <mergeCell ref="S4:S5"/>
    <mergeCell ref="T4:T5"/>
    <mergeCell ref="L4:L5"/>
    <mergeCell ref="M4:M5"/>
    <mergeCell ref="N4:N5"/>
    <mergeCell ref="O4:O5"/>
  </mergeCells>
  <printOptions/>
  <pageMargins left="0.24" right="0.16" top="0.23" bottom="0.22" header="0.2" footer="0.2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V353"/>
  <sheetViews>
    <sheetView workbookViewId="0" topLeftCell="A1">
      <pane ySplit="5" topLeftCell="BM334" activePane="bottomLeft" state="frozen"/>
      <selection pane="topLeft" activeCell="A1" sqref="A1"/>
      <selection pane="bottomLeft" activeCell="H369" sqref="H369"/>
    </sheetView>
  </sheetViews>
  <sheetFormatPr defaultColWidth="9.140625" defaultRowHeight="12.75"/>
  <cols>
    <col min="1" max="1" width="10.421875" style="4" customWidth="1"/>
    <col min="2" max="2" width="30.28125" style="0" customWidth="1"/>
    <col min="4" max="4" width="13.00390625" style="0" customWidth="1"/>
    <col min="5" max="5" width="5.8515625" style="0" customWidth="1"/>
    <col min="6" max="6" width="4.7109375" style="0" customWidth="1"/>
    <col min="7" max="7" width="12.28125" style="0" customWidth="1"/>
    <col min="8" max="8" width="17.00390625" style="0" customWidth="1"/>
    <col min="9" max="9" width="14.28125" style="0" customWidth="1"/>
    <col min="10" max="10" width="17.140625" style="0" customWidth="1"/>
    <col min="11" max="11" width="13.421875" style="0" customWidth="1"/>
    <col min="12" max="12" width="14.28125" style="0" customWidth="1"/>
    <col min="13" max="13" width="13.7109375" style="0" customWidth="1"/>
    <col min="14" max="14" width="15.00390625" style="0" customWidth="1"/>
    <col min="15" max="15" width="15.7109375" style="0" customWidth="1"/>
    <col min="16" max="16" width="14.28125" style="0" customWidth="1"/>
    <col min="17" max="17" width="13.57421875" style="0" customWidth="1"/>
    <col min="18" max="18" width="14.00390625" style="0" customWidth="1"/>
    <col min="19" max="19" width="16.140625" style="0" customWidth="1"/>
    <col min="20" max="20" width="13.8515625" style="0" customWidth="1"/>
    <col min="21" max="21" width="13.8515625" style="0" hidden="1" customWidth="1"/>
    <col min="22" max="22" width="15.7109375" style="0" customWidth="1"/>
  </cols>
  <sheetData>
    <row r="2" spans="1:20" ht="15.75">
      <c r="A2" s="218" t="s">
        <v>171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thickBot="1"/>
    <row r="4" spans="1:20" ht="12.75">
      <c r="A4" s="219" t="s">
        <v>29</v>
      </c>
      <c r="B4" s="221" t="s">
        <v>0</v>
      </c>
      <c r="C4" s="223"/>
      <c r="D4" s="223"/>
      <c r="E4" s="223"/>
      <c r="F4" s="223"/>
      <c r="G4" s="223"/>
      <c r="H4" s="224" t="s">
        <v>1</v>
      </c>
      <c r="I4" s="216" t="s">
        <v>30</v>
      </c>
      <c r="J4" s="216" t="s">
        <v>31</v>
      </c>
      <c r="K4" s="216" t="s">
        <v>32</v>
      </c>
      <c r="L4" s="216" t="s">
        <v>33</v>
      </c>
      <c r="M4" s="216" t="s">
        <v>34</v>
      </c>
      <c r="N4" s="216" t="s">
        <v>35</v>
      </c>
      <c r="O4" s="216" t="s">
        <v>36</v>
      </c>
      <c r="P4" s="216" t="s">
        <v>37</v>
      </c>
      <c r="Q4" s="216" t="s">
        <v>38</v>
      </c>
      <c r="R4" s="216" t="s">
        <v>39</v>
      </c>
      <c r="S4" s="216" t="s">
        <v>40</v>
      </c>
      <c r="T4" s="227" t="s">
        <v>41</v>
      </c>
    </row>
    <row r="5" spans="1:21" ht="26.25" thickBot="1">
      <c r="A5" s="220"/>
      <c r="B5" s="222"/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225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28"/>
      <c r="U5" s="22" t="s">
        <v>51</v>
      </c>
    </row>
    <row r="6" spans="1:22" ht="12.75">
      <c r="A6" s="5" t="s">
        <v>42</v>
      </c>
      <c r="B6" s="3" t="s">
        <v>7</v>
      </c>
      <c r="C6" s="144" t="s">
        <v>10</v>
      </c>
      <c r="D6" s="145">
        <v>9010000190</v>
      </c>
      <c r="E6" s="145">
        <v>121</v>
      </c>
      <c r="F6" s="7">
        <v>211</v>
      </c>
      <c r="G6" s="1"/>
      <c r="H6" s="15">
        <f>914100+9</f>
        <v>914109</v>
      </c>
      <c r="I6" s="18">
        <f>72500+3625</f>
        <v>76125</v>
      </c>
      <c r="J6" s="18">
        <f>72500+3625+9</f>
        <v>76134</v>
      </c>
      <c r="K6" s="18">
        <f aca="true" t="shared" si="0" ref="K6:R6">72500+3625</f>
        <v>76125</v>
      </c>
      <c r="L6" s="18">
        <f t="shared" si="0"/>
        <v>76125</v>
      </c>
      <c r="M6" s="18">
        <f t="shared" si="0"/>
        <v>76125</v>
      </c>
      <c r="N6" s="18">
        <f t="shared" si="0"/>
        <v>76125</v>
      </c>
      <c r="O6" s="18">
        <f t="shared" si="0"/>
        <v>76125</v>
      </c>
      <c r="P6" s="18">
        <f t="shared" si="0"/>
        <v>76125</v>
      </c>
      <c r="Q6" s="18">
        <f t="shared" si="0"/>
        <v>76125</v>
      </c>
      <c r="R6" s="18">
        <f t="shared" si="0"/>
        <v>76125</v>
      </c>
      <c r="S6" s="18">
        <f>72500+3625+600</f>
        <v>76725</v>
      </c>
      <c r="T6" s="18">
        <f>72500+3625</f>
        <v>76125</v>
      </c>
      <c r="U6" s="21">
        <f>I6+J6+K6+L6+M6+N6+O6+P6+Q6+R6+S6+T6</f>
        <v>914109</v>
      </c>
      <c r="V6" s="21">
        <f>SUM(I6:T6)</f>
        <v>914109</v>
      </c>
    </row>
    <row r="7" spans="1:22" ht="12.75">
      <c r="A7" s="5" t="s">
        <v>42</v>
      </c>
      <c r="B7" s="3" t="s">
        <v>9</v>
      </c>
      <c r="C7" s="144" t="s">
        <v>10</v>
      </c>
      <c r="D7" s="145">
        <v>9010000190</v>
      </c>
      <c r="E7" s="145">
        <v>129</v>
      </c>
      <c r="F7" s="7">
        <v>213</v>
      </c>
      <c r="G7" s="1"/>
      <c r="H7" s="15">
        <f>276100-9</f>
        <v>276091</v>
      </c>
      <c r="I7" s="18">
        <f>21900+1100</f>
        <v>23000</v>
      </c>
      <c r="J7" s="18">
        <f>21900+1100-9</f>
        <v>22991</v>
      </c>
      <c r="K7" s="18">
        <f aca="true" t="shared" si="1" ref="K7:R7">21900+1100</f>
        <v>23000</v>
      </c>
      <c r="L7" s="18">
        <f t="shared" si="1"/>
        <v>23000</v>
      </c>
      <c r="M7" s="18">
        <f t="shared" si="1"/>
        <v>23000</v>
      </c>
      <c r="N7" s="18">
        <f t="shared" si="1"/>
        <v>23000</v>
      </c>
      <c r="O7" s="18">
        <f t="shared" si="1"/>
        <v>23000</v>
      </c>
      <c r="P7" s="18">
        <f t="shared" si="1"/>
        <v>23000</v>
      </c>
      <c r="Q7" s="18">
        <f t="shared" si="1"/>
        <v>23000</v>
      </c>
      <c r="R7" s="18">
        <f t="shared" si="1"/>
        <v>23000</v>
      </c>
      <c r="S7" s="18">
        <f>21900+1200</f>
        <v>23100</v>
      </c>
      <c r="T7" s="18">
        <f>21900+1100</f>
        <v>23000</v>
      </c>
      <c r="U7" s="21">
        <f>I7+J7+K7+L7+M7+N7+O7+P7+Q7+R7+S7+T7</f>
        <v>276091</v>
      </c>
      <c r="V7" s="21">
        <f>SUM(I7:T7)</f>
        <v>276091</v>
      </c>
    </row>
    <row r="8" spans="1:22" ht="15.75" customHeight="1">
      <c r="A8" s="5" t="s">
        <v>42</v>
      </c>
      <c r="B8" s="11" t="s">
        <v>15</v>
      </c>
      <c r="C8" s="144" t="s">
        <v>10</v>
      </c>
      <c r="D8" s="145">
        <v>9010000190</v>
      </c>
      <c r="E8" s="145">
        <v>244</v>
      </c>
      <c r="F8" s="7">
        <v>226</v>
      </c>
      <c r="G8" s="6"/>
      <c r="H8" s="15">
        <v>3300</v>
      </c>
      <c r="I8" s="18">
        <v>0</v>
      </c>
      <c r="J8" s="18">
        <v>0</v>
      </c>
      <c r="K8" s="18">
        <v>0</v>
      </c>
      <c r="L8" s="18">
        <v>1100</v>
      </c>
      <c r="M8" s="18">
        <v>0</v>
      </c>
      <c r="N8" s="18">
        <v>0</v>
      </c>
      <c r="O8" s="18">
        <v>1100</v>
      </c>
      <c r="P8" s="18">
        <v>0</v>
      </c>
      <c r="Q8" s="18">
        <v>0</v>
      </c>
      <c r="R8" s="18">
        <v>1100</v>
      </c>
      <c r="S8" s="18">
        <v>0</v>
      </c>
      <c r="T8" s="18">
        <v>0</v>
      </c>
      <c r="U8" s="21">
        <f>I8+J8+K8+L8+M8+N8+O8+P8+Q8+R8+S8+T8</f>
        <v>3300</v>
      </c>
      <c r="V8" s="21">
        <f>SUM(I8:T8)</f>
        <v>3300</v>
      </c>
    </row>
    <row r="9" spans="1:22" ht="12.75">
      <c r="A9" s="5"/>
      <c r="B9" s="29" t="s">
        <v>53</v>
      </c>
      <c r="C9" s="146" t="s">
        <v>10</v>
      </c>
      <c r="D9" s="115"/>
      <c r="E9" s="115"/>
      <c r="F9" s="115"/>
      <c r="G9" s="29"/>
      <c r="H9" s="14">
        <f aca="true" t="shared" si="2" ref="H9:T9">H6+H7+H8</f>
        <v>1193500</v>
      </c>
      <c r="I9" s="14">
        <f t="shared" si="2"/>
        <v>99125</v>
      </c>
      <c r="J9" s="14">
        <f t="shared" si="2"/>
        <v>99125</v>
      </c>
      <c r="K9" s="14">
        <f t="shared" si="2"/>
        <v>99125</v>
      </c>
      <c r="L9" s="14">
        <f t="shared" si="2"/>
        <v>100225</v>
      </c>
      <c r="M9" s="14">
        <f t="shared" si="2"/>
        <v>99125</v>
      </c>
      <c r="N9" s="14">
        <f t="shared" si="2"/>
        <v>99125</v>
      </c>
      <c r="O9" s="14">
        <f t="shared" si="2"/>
        <v>100225</v>
      </c>
      <c r="P9" s="14">
        <f t="shared" si="2"/>
        <v>99125</v>
      </c>
      <c r="Q9" s="14">
        <f t="shared" si="2"/>
        <v>99125</v>
      </c>
      <c r="R9" s="14">
        <f t="shared" si="2"/>
        <v>100225</v>
      </c>
      <c r="S9" s="14">
        <f t="shared" si="2"/>
        <v>99825</v>
      </c>
      <c r="T9" s="14">
        <f t="shared" si="2"/>
        <v>99125</v>
      </c>
      <c r="U9" s="23">
        <f>I9+J9+K9+L9+M9+N9+O9+P9+Q9+R9+S9+T9</f>
        <v>1193500</v>
      </c>
      <c r="V9" s="199">
        <f>SUM(I9:T9)</f>
        <v>1193500</v>
      </c>
    </row>
    <row r="10" spans="1:22" ht="93.75" customHeight="1">
      <c r="A10" s="26" t="s">
        <v>42</v>
      </c>
      <c r="B10" s="27" t="s">
        <v>112</v>
      </c>
      <c r="C10" s="148" t="s">
        <v>11</v>
      </c>
      <c r="D10" s="148">
        <v>5100000000</v>
      </c>
      <c r="E10" s="117"/>
      <c r="F10" s="117"/>
      <c r="G10" s="28"/>
      <c r="H10" s="38">
        <f>H11+H12+H13+H14+H15+H16+H17+H18+H20+H21+H19+H22+H23+H24+H25</f>
        <v>6824400</v>
      </c>
      <c r="I10" s="38">
        <f aca="true" t="shared" si="3" ref="I10:U10">I11+I12+I13+I14+I15+I16+I17+I18+I20+I21+I19+I22+I23</f>
        <v>248100</v>
      </c>
      <c r="J10" s="38">
        <f t="shared" si="3"/>
        <v>461873</v>
      </c>
      <c r="K10" s="38">
        <f t="shared" si="3"/>
        <v>309829</v>
      </c>
      <c r="L10" s="38">
        <f t="shared" si="3"/>
        <v>418200</v>
      </c>
      <c r="M10" s="38">
        <f t="shared" si="3"/>
        <v>448200</v>
      </c>
      <c r="N10" s="38">
        <f t="shared" si="3"/>
        <v>419100</v>
      </c>
      <c r="O10" s="38">
        <f t="shared" si="3"/>
        <v>421100</v>
      </c>
      <c r="P10" s="38">
        <f t="shared" si="3"/>
        <v>649100</v>
      </c>
      <c r="Q10" s="38">
        <f t="shared" si="3"/>
        <v>418200</v>
      </c>
      <c r="R10" s="38">
        <f t="shared" si="3"/>
        <v>808700</v>
      </c>
      <c r="S10" s="38">
        <f t="shared" si="3"/>
        <v>810450</v>
      </c>
      <c r="T10" s="38">
        <f t="shared" si="3"/>
        <v>1405548</v>
      </c>
      <c r="U10" s="38">
        <f t="shared" si="3"/>
        <v>6818400</v>
      </c>
      <c r="V10" s="38">
        <f>V11+V12+V19+V22+V23+V24+V25</f>
        <v>6824400</v>
      </c>
    </row>
    <row r="11" spans="1:22" ht="12.75">
      <c r="A11" s="5" t="s">
        <v>42</v>
      </c>
      <c r="B11" s="3" t="s">
        <v>7</v>
      </c>
      <c r="C11" s="144" t="s">
        <v>11</v>
      </c>
      <c r="D11" s="145">
        <v>5110100190</v>
      </c>
      <c r="E11" s="145">
        <v>121</v>
      </c>
      <c r="F11" s="144">
        <v>211</v>
      </c>
      <c r="G11" s="1"/>
      <c r="H11" s="15">
        <f>4878100+2100+5931</f>
        <v>4886131</v>
      </c>
      <c r="I11" s="12">
        <f>196900+9500</f>
        <v>206400</v>
      </c>
      <c r="J11" s="12">
        <f>296900+9500+2100+5931</f>
        <v>314431</v>
      </c>
      <c r="K11" s="12">
        <f>266900+9500</f>
        <v>276400</v>
      </c>
      <c r="L11" s="12">
        <f>296900+9500</f>
        <v>306400</v>
      </c>
      <c r="M11" s="12">
        <f>296900+9500</f>
        <v>306400</v>
      </c>
      <c r="N11" s="12">
        <f>296900+9500</f>
        <v>306400</v>
      </c>
      <c r="O11" s="12">
        <f>296900+9500</f>
        <v>306400</v>
      </c>
      <c r="P11" s="12">
        <f>496900+9500</f>
        <v>506400</v>
      </c>
      <c r="Q11" s="12">
        <f>296900+9500</f>
        <v>306400</v>
      </c>
      <c r="R11" s="12">
        <f>596900+9500</f>
        <v>606400</v>
      </c>
      <c r="S11" s="12">
        <f>526900+10300</f>
        <v>537200</v>
      </c>
      <c r="T11" s="12">
        <f>897400+9500</f>
        <v>906900</v>
      </c>
      <c r="U11" s="24">
        <f aca="true" t="shared" si="4" ref="U11:U23">I11+J11+K11+L11+M11+N11+O11+P11+Q11+R11+S11+T11</f>
        <v>4886131</v>
      </c>
      <c r="V11" s="21">
        <f aca="true" t="shared" si="5" ref="V11:V26">SUM(I11:T11)</f>
        <v>4886131</v>
      </c>
    </row>
    <row r="12" spans="1:22" ht="12.75">
      <c r="A12" s="5" t="s">
        <v>42</v>
      </c>
      <c r="B12" s="3" t="s">
        <v>9</v>
      </c>
      <c r="C12" s="144" t="s">
        <v>11</v>
      </c>
      <c r="D12" s="145">
        <v>5110100190</v>
      </c>
      <c r="E12" s="145">
        <v>129</v>
      </c>
      <c r="F12" s="144">
        <v>213</v>
      </c>
      <c r="G12" s="1"/>
      <c r="H12" s="15">
        <f>1473200+620+1791</f>
        <v>1475611</v>
      </c>
      <c r="I12" s="12">
        <f>19900+2800</f>
        <v>22700</v>
      </c>
      <c r="J12" s="12">
        <f>19900+2800</f>
        <v>22700</v>
      </c>
      <c r="K12" s="12">
        <f>19560+2800+620+1791</f>
        <v>24771</v>
      </c>
      <c r="L12" s="12">
        <f>89900+2800</f>
        <v>92700</v>
      </c>
      <c r="M12" s="12">
        <f>119900+2800</f>
        <v>122700</v>
      </c>
      <c r="N12" s="12">
        <f>89900+2800</f>
        <v>92700</v>
      </c>
      <c r="O12" s="12">
        <f>89900+2800</f>
        <v>92700</v>
      </c>
      <c r="P12" s="12">
        <f>119900+2800</f>
        <v>122700</v>
      </c>
      <c r="Q12" s="12">
        <f>89900+2800</f>
        <v>92700</v>
      </c>
      <c r="R12" s="12">
        <f>179900+2800</f>
        <v>182700</v>
      </c>
      <c r="S12" s="12">
        <f>249900+3350</f>
        <v>253250</v>
      </c>
      <c r="T12" s="12">
        <f>349940+3350</f>
        <v>353290</v>
      </c>
      <c r="U12" s="24">
        <f t="shared" si="4"/>
        <v>1475611</v>
      </c>
      <c r="V12" s="21">
        <f t="shared" si="5"/>
        <v>1475611</v>
      </c>
    </row>
    <row r="13" spans="1:22" ht="12.75" hidden="1">
      <c r="A13" s="25" t="s">
        <v>42</v>
      </c>
      <c r="B13" s="3" t="s">
        <v>12</v>
      </c>
      <c r="C13" s="113" t="s">
        <v>11</v>
      </c>
      <c r="D13" s="114">
        <v>5110100190</v>
      </c>
      <c r="E13" s="114">
        <v>244</v>
      </c>
      <c r="F13" s="113">
        <v>221</v>
      </c>
      <c r="G13" s="1"/>
      <c r="H13" s="15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24">
        <f t="shared" si="4"/>
        <v>0</v>
      </c>
      <c r="V13" s="21">
        <f t="shared" si="5"/>
        <v>0</v>
      </c>
    </row>
    <row r="14" spans="1:22" ht="12.75" hidden="1">
      <c r="A14" s="5" t="s">
        <v>42</v>
      </c>
      <c r="B14" s="3" t="s">
        <v>13</v>
      </c>
      <c r="C14" s="113" t="s">
        <v>11</v>
      </c>
      <c r="D14" s="114">
        <v>5110100190</v>
      </c>
      <c r="E14" s="114">
        <v>244</v>
      </c>
      <c r="F14" s="113">
        <v>223</v>
      </c>
      <c r="G14" s="2" t="s">
        <v>43</v>
      </c>
      <c r="H14" s="15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4">
        <f t="shared" si="4"/>
        <v>0</v>
      </c>
      <c r="V14" s="21">
        <f t="shared" si="5"/>
        <v>0</v>
      </c>
    </row>
    <row r="15" spans="1:22" ht="12.75" hidden="1">
      <c r="A15" s="5" t="s">
        <v>42</v>
      </c>
      <c r="B15" s="3" t="s">
        <v>13</v>
      </c>
      <c r="C15" s="113" t="s">
        <v>11</v>
      </c>
      <c r="D15" s="114">
        <v>5110100190</v>
      </c>
      <c r="E15" s="114">
        <v>244</v>
      </c>
      <c r="F15" s="113">
        <v>223</v>
      </c>
      <c r="G15" s="9" t="s">
        <v>44</v>
      </c>
      <c r="H15" s="15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4">
        <f t="shared" si="4"/>
        <v>0</v>
      </c>
      <c r="V15" s="21">
        <f t="shared" si="5"/>
        <v>0</v>
      </c>
    </row>
    <row r="16" spans="1:22" ht="12.75" hidden="1">
      <c r="A16" s="5" t="s">
        <v>42</v>
      </c>
      <c r="B16" s="3" t="s">
        <v>13</v>
      </c>
      <c r="C16" s="113" t="s">
        <v>11</v>
      </c>
      <c r="D16" s="114">
        <v>5110100190</v>
      </c>
      <c r="E16" s="114">
        <v>244</v>
      </c>
      <c r="F16" s="113">
        <v>223</v>
      </c>
      <c r="G16" s="2" t="s">
        <v>45</v>
      </c>
      <c r="H16" s="15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24">
        <f t="shared" si="4"/>
        <v>0</v>
      </c>
      <c r="V16" s="21">
        <f t="shared" si="5"/>
        <v>0</v>
      </c>
    </row>
    <row r="17" spans="1:22" ht="12.75" hidden="1">
      <c r="A17" s="5" t="s">
        <v>42</v>
      </c>
      <c r="B17" s="3" t="s">
        <v>14</v>
      </c>
      <c r="C17" s="113" t="s">
        <v>11</v>
      </c>
      <c r="D17" s="114">
        <v>5110100190</v>
      </c>
      <c r="E17" s="114">
        <v>244</v>
      </c>
      <c r="F17" s="113">
        <v>225</v>
      </c>
      <c r="G17" s="2"/>
      <c r="H17" s="15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4">
        <f t="shared" si="4"/>
        <v>0</v>
      </c>
      <c r="V17" s="21">
        <f t="shared" si="5"/>
        <v>0</v>
      </c>
    </row>
    <row r="18" spans="1:22" ht="12.75" hidden="1">
      <c r="A18" s="5" t="s">
        <v>42</v>
      </c>
      <c r="B18" s="3" t="s">
        <v>16</v>
      </c>
      <c r="C18" s="113" t="s">
        <v>11</v>
      </c>
      <c r="D18" s="114">
        <v>5110100190</v>
      </c>
      <c r="E18" s="114">
        <v>851</v>
      </c>
      <c r="F18" s="113">
        <v>290</v>
      </c>
      <c r="G18" s="2" t="s">
        <v>60</v>
      </c>
      <c r="H18" s="17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24">
        <f t="shared" si="4"/>
        <v>0</v>
      </c>
      <c r="V18" s="21">
        <f t="shared" si="5"/>
        <v>0</v>
      </c>
    </row>
    <row r="19" spans="1:22" ht="12.75">
      <c r="A19" s="5" t="s">
        <v>42</v>
      </c>
      <c r="B19" s="3" t="s">
        <v>15</v>
      </c>
      <c r="C19" s="144" t="s">
        <v>11</v>
      </c>
      <c r="D19" s="145">
        <v>5110100190</v>
      </c>
      <c r="E19" s="145">
        <v>244</v>
      </c>
      <c r="F19" s="144">
        <v>226</v>
      </c>
      <c r="G19" s="2"/>
      <c r="H19" s="17">
        <v>3100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3100</v>
      </c>
      <c r="U19" s="24">
        <f t="shared" si="4"/>
        <v>3100</v>
      </c>
      <c r="V19" s="21">
        <f t="shared" si="5"/>
        <v>3100</v>
      </c>
    </row>
    <row r="20" spans="1:22" ht="12.75" hidden="1">
      <c r="A20" s="5" t="s">
        <v>42</v>
      </c>
      <c r="B20" s="3" t="s">
        <v>17</v>
      </c>
      <c r="C20" s="113" t="s">
        <v>11</v>
      </c>
      <c r="D20" s="114">
        <v>5110100190</v>
      </c>
      <c r="E20" s="114">
        <v>244</v>
      </c>
      <c r="F20" s="113">
        <v>340</v>
      </c>
      <c r="G20" s="7"/>
      <c r="H20" s="17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24">
        <f t="shared" si="4"/>
        <v>0</v>
      </c>
      <c r="V20" s="21">
        <f t="shared" si="5"/>
        <v>0</v>
      </c>
    </row>
    <row r="21" spans="1:22" ht="12.75" hidden="1">
      <c r="A21" s="5" t="s">
        <v>42</v>
      </c>
      <c r="B21" s="3" t="s">
        <v>17</v>
      </c>
      <c r="C21" s="113" t="s">
        <v>11</v>
      </c>
      <c r="D21" s="114">
        <v>5110100190</v>
      </c>
      <c r="E21" s="114">
        <v>244</v>
      </c>
      <c r="F21" s="113">
        <v>340</v>
      </c>
      <c r="G21" s="7" t="s">
        <v>46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24">
        <f t="shared" si="4"/>
        <v>0</v>
      </c>
      <c r="V21" s="21">
        <f t="shared" si="5"/>
        <v>0</v>
      </c>
    </row>
    <row r="22" spans="1:22" ht="25.5">
      <c r="A22" s="5" t="s">
        <v>42</v>
      </c>
      <c r="B22" s="3" t="s">
        <v>17</v>
      </c>
      <c r="C22" s="144" t="s">
        <v>11</v>
      </c>
      <c r="D22" s="145">
        <v>5110100190</v>
      </c>
      <c r="E22" s="145">
        <v>244</v>
      </c>
      <c r="F22" s="144">
        <v>340</v>
      </c>
      <c r="G22" s="147" t="s">
        <v>113</v>
      </c>
      <c r="H22" s="15">
        <f>290000-2720-7722</f>
        <v>279558</v>
      </c>
      <c r="I22" s="16">
        <v>19000</v>
      </c>
      <c r="J22" s="16">
        <v>22000</v>
      </c>
      <c r="K22" s="16">
        <f>19100-2720-7722</f>
        <v>8658</v>
      </c>
      <c r="L22" s="16">
        <v>19100</v>
      </c>
      <c r="M22" s="16">
        <v>19100</v>
      </c>
      <c r="N22" s="16">
        <v>20000</v>
      </c>
      <c r="O22" s="16">
        <v>22000</v>
      </c>
      <c r="P22" s="16">
        <v>20000</v>
      </c>
      <c r="Q22" s="16">
        <v>19100</v>
      </c>
      <c r="R22" s="16">
        <v>19600</v>
      </c>
      <c r="S22" s="16">
        <v>20000</v>
      </c>
      <c r="T22" s="16">
        <v>71000</v>
      </c>
      <c r="U22" s="24">
        <f t="shared" si="4"/>
        <v>279558</v>
      </c>
      <c r="V22" s="21">
        <f t="shared" si="5"/>
        <v>279558</v>
      </c>
    </row>
    <row r="23" spans="1:22" ht="12.75">
      <c r="A23" s="5" t="s">
        <v>42</v>
      </c>
      <c r="B23" s="3" t="s">
        <v>16</v>
      </c>
      <c r="C23" s="144" t="s">
        <v>11</v>
      </c>
      <c r="D23" s="145">
        <v>5110100190</v>
      </c>
      <c r="E23" s="145">
        <v>851</v>
      </c>
      <c r="F23" s="144">
        <v>290</v>
      </c>
      <c r="G23" s="147" t="s">
        <v>60</v>
      </c>
      <c r="H23" s="17">
        <v>174000</v>
      </c>
      <c r="I23" s="16">
        <v>0</v>
      </c>
      <c r="J23" s="16">
        <v>102742</v>
      </c>
      <c r="K23" s="16">
        <v>0</v>
      </c>
      <c r="L23" s="16">
        <f>22500-6000-16500</f>
        <v>0</v>
      </c>
      <c r="M23" s="16">
        <v>0</v>
      </c>
      <c r="N23" s="16">
        <v>0</v>
      </c>
      <c r="O23" s="16">
        <f>22500-22500</f>
        <v>0</v>
      </c>
      <c r="P23" s="16">
        <v>0</v>
      </c>
      <c r="Q23" s="16">
        <v>0</v>
      </c>
      <c r="R23" s="16">
        <f>22500-22500</f>
        <v>0</v>
      </c>
      <c r="S23" s="16">
        <v>0</v>
      </c>
      <c r="T23" s="16">
        <v>71258</v>
      </c>
      <c r="U23" s="24">
        <f t="shared" si="4"/>
        <v>174000</v>
      </c>
      <c r="V23" s="21">
        <f t="shared" si="5"/>
        <v>174000</v>
      </c>
    </row>
    <row r="24" spans="1:22" ht="12.75">
      <c r="A24" s="5"/>
      <c r="B24" s="3"/>
      <c r="C24" s="144" t="s">
        <v>11</v>
      </c>
      <c r="D24" s="145">
        <v>5110100190</v>
      </c>
      <c r="E24" s="145">
        <v>852</v>
      </c>
      <c r="F24" s="144">
        <v>290</v>
      </c>
      <c r="G24" s="147" t="s">
        <v>60</v>
      </c>
      <c r="H24" s="215">
        <v>4000</v>
      </c>
      <c r="I24" s="16"/>
      <c r="J24" s="16">
        <v>3970</v>
      </c>
      <c r="K24" s="16">
        <v>0</v>
      </c>
      <c r="L24" s="186">
        <f>4000-3970</f>
        <v>30</v>
      </c>
      <c r="M24" s="16"/>
      <c r="N24" s="16"/>
      <c r="O24" s="16"/>
      <c r="P24" s="16"/>
      <c r="Q24" s="16"/>
      <c r="R24" s="16"/>
      <c r="S24" s="16"/>
      <c r="T24" s="16"/>
      <c r="U24" s="24"/>
      <c r="V24" s="21">
        <f t="shared" si="5"/>
        <v>4000</v>
      </c>
    </row>
    <row r="25" spans="1:22" ht="12.75">
      <c r="A25" s="5"/>
      <c r="B25" s="3"/>
      <c r="C25" s="144" t="s">
        <v>11</v>
      </c>
      <c r="D25" s="145">
        <v>5110100190</v>
      </c>
      <c r="E25" s="145">
        <v>853</v>
      </c>
      <c r="F25" s="144">
        <v>290</v>
      </c>
      <c r="G25" s="147" t="s">
        <v>60</v>
      </c>
      <c r="H25" s="215">
        <v>2000</v>
      </c>
      <c r="I25" s="16"/>
      <c r="J25" s="16">
        <v>368.53</v>
      </c>
      <c r="K25" s="16">
        <v>0</v>
      </c>
      <c r="L25" s="186">
        <f>2000-368.53</f>
        <v>1631.47</v>
      </c>
      <c r="M25" s="16"/>
      <c r="N25" s="16"/>
      <c r="O25" s="16"/>
      <c r="P25" s="16"/>
      <c r="Q25" s="16"/>
      <c r="R25" s="16"/>
      <c r="S25" s="16"/>
      <c r="T25" s="16"/>
      <c r="U25" s="24"/>
      <c r="V25" s="21">
        <f t="shared" si="5"/>
        <v>2000</v>
      </c>
    </row>
    <row r="26" spans="1:22" ht="12.75">
      <c r="A26" s="5" t="s">
        <v>42</v>
      </c>
      <c r="B26" s="3" t="s">
        <v>52</v>
      </c>
      <c r="C26" s="144" t="s">
        <v>11</v>
      </c>
      <c r="D26" s="145">
        <v>9110060190</v>
      </c>
      <c r="E26" s="145">
        <v>244</v>
      </c>
      <c r="F26" s="144">
        <v>340</v>
      </c>
      <c r="G26" s="7"/>
      <c r="H26" s="17">
        <v>7600</v>
      </c>
      <c r="I26" s="16">
        <v>7600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24">
        <f>I26+J26+K26+L26+M26+N26+O26+P26+Q26+R26+S26+T26</f>
        <v>7600</v>
      </c>
      <c r="V26" s="21">
        <f t="shared" si="5"/>
        <v>7600</v>
      </c>
    </row>
    <row r="27" spans="1:22" ht="12.75">
      <c r="A27" s="5"/>
      <c r="B27" s="29" t="s">
        <v>53</v>
      </c>
      <c r="C27" s="149" t="s">
        <v>11</v>
      </c>
      <c r="D27" s="145"/>
      <c r="E27" s="145"/>
      <c r="F27" s="144"/>
      <c r="G27" s="7"/>
      <c r="H27" s="20">
        <f aca="true" t="shared" si="6" ref="H27:T27">H10+H26</f>
        <v>6832000</v>
      </c>
      <c r="I27" s="20">
        <f t="shared" si="6"/>
        <v>255700</v>
      </c>
      <c r="J27" s="20">
        <f t="shared" si="6"/>
        <v>461873</v>
      </c>
      <c r="K27" s="20">
        <f t="shared" si="6"/>
        <v>309829</v>
      </c>
      <c r="L27" s="20">
        <f t="shared" si="6"/>
        <v>418200</v>
      </c>
      <c r="M27" s="20">
        <f t="shared" si="6"/>
        <v>448200</v>
      </c>
      <c r="N27" s="20">
        <f t="shared" si="6"/>
        <v>419100</v>
      </c>
      <c r="O27" s="20">
        <f t="shared" si="6"/>
        <v>421100</v>
      </c>
      <c r="P27" s="20">
        <f t="shared" si="6"/>
        <v>649100</v>
      </c>
      <c r="Q27" s="20">
        <f t="shared" si="6"/>
        <v>418200</v>
      </c>
      <c r="R27" s="20">
        <f t="shared" si="6"/>
        <v>808700</v>
      </c>
      <c r="S27" s="20">
        <f t="shared" si="6"/>
        <v>810450</v>
      </c>
      <c r="T27" s="20">
        <f t="shared" si="6"/>
        <v>1405548</v>
      </c>
      <c r="U27" s="23">
        <f>I27+J27+K27+L27+M27+N27+O27+P27+Q27+R27+S27+T27</f>
        <v>6826000</v>
      </c>
      <c r="V27" s="199">
        <f>V10+V26</f>
        <v>6832000</v>
      </c>
    </row>
    <row r="28" spans="1:22" ht="12.75">
      <c r="A28" s="5"/>
      <c r="B28" s="31"/>
      <c r="C28" s="118"/>
      <c r="D28" s="114"/>
      <c r="E28" s="114"/>
      <c r="F28" s="113"/>
      <c r="G28" s="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3"/>
      <c r="V28" s="21">
        <f aca="true" t="shared" si="7" ref="V28:V59">SUM(I28:T28)</f>
        <v>0</v>
      </c>
    </row>
    <row r="29" spans="1:22" ht="76.5">
      <c r="A29" s="5" t="s">
        <v>42</v>
      </c>
      <c r="B29" s="33" t="s">
        <v>54</v>
      </c>
      <c r="C29" s="152" t="s">
        <v>55</v>
      </c>
      <c r="D29" s="153">
        <v>9210000190</v>
      </c>
      <c r="E29" s="153">
        <v>540</v>
      </c>
      <c r="F29" s="153">
        <v>251</v>
      </c>
      <c r="G29" s="7" t="s">
        <v>56</v>
      </c>
      <c r="H29" s="13">
        <v>150473</v>
      </c>
      <c r="I29" s="18">
        <v>0</v>
      </c>
      <c r="J29" s="18">
        <v>150473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24">
        <f>I29+J29+K29+L29+M29+N29+O29+P29+Q29+R29+S29+T29</f>
        <v>150473</v>
      </c>
      <c r="V29" s="200">
        <f t="shared" si="7"/>
        <v>150473</v>
      </c>
    </row>
    <row r="30" spans="1:22" ht="12.75">
      <c r="A30" s="5"/>
      <c r="B30" s="29" t="s">
        <v>53</v>
      </c>
      <c r="C30" s="149" t="s">
        <v>55</v>
      </c>
      <c r="D30" s="145"/>
      <c r="E30" s="145"/>
      <c r="F30" s="144"/>
      <c r="G30" s="7"/>
      <c r="H30" s="20">
        <f aca="true" t="shared" si="8" ref="H30:T30">H29</f>
        <v>150473</v>
      </c>
      <c r="I30" s="19">
        <f t="shared" si="8"/>
        <v>0</v>
      </c>
      <c r="J30" s="19">
        <f t="shared" si="8"/>
        <v>150473</v>
      </c>
      <c r="K30" s="19">
        <f t="shared" si="8"/>
        <v>0</v>
      </c>
      <c r="L30" s="19">
        <f t="shared" si="8"/>
        <v>0</v>
      </c>
      <c r="M30" s="19">
        <f t="shared" si="8"/>
        <v>0</v>
      </c>
      <c r="N30" s="19">
        <f t="shared" si="8"/>
        <v>0</v>
      </c>
      <c r="O30" s="19">
        <f t="shared" si="8"/>
        <v>0</v>
      </c>
      <c r="P30" s="19">
        <f t="shared" si="8"/>
        <v>0</v>
      </c>
      <c r="Q30" s="19">
        <f t="shared" si="8"/>
        <v>0</v>
      </c>
      <c r="R30" s="19">
        <f t="shared" si="8"/>
        <v>0</v>
      </c>
      <c r="S30" s="19">
        <f t="shared" si="8"/>
        <v>0</v>
      </c>
      <c r="T30" s="19">
        <f t="shared" si="8"/>
        <v>0</v>
      </c>
      <c r="U30" s="23">
        <f>I30+J30+K30+L30+M30+N30+O30+P30+Q30+R30+S30+T30</f>
        <v>150473</v>
      </c>
      <c r="V30" s="21">
        <f t="shared" si="7"/>
        <v>150473</v>
      </c>
    </row>
    <row r="31" spans="1:22" ht="12.75">
      <c r="A31" s="5"/>
      <c r="B31" s="31"/>
      <c r="C31" s="149"/>
      <c r="D31" s="145"/>
      <c r="E31" s="145"/>
      <c r="F31" s="144"/>
      <c r="G31" s="7"/>
      <c r="H31" s="2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3"/>
      <c r="V31" s="21">
        <f t="shared" si="7"/>
        <v>0</v>
      </c>
    </row>
    <row r="32" spans="1:22" ht="25.5">
      <c r="A32" s="5" t="s">
        <v>42</v>
      </c>
      <c r="B32" s="155" t="s">
        <v>115</v>
      </c>
      <c r="C32" s="149" t="s">
        <v>116</v>
      </c>
      <c r="D32" s="145">
        <v>9510010710</v>
      </c>
      <c r="E32" s="145">
        <v>880</v>
      </c>
      <c r="F32" s="144">
        <v>290</v>
      </c>
      <c r="G32" s="7"/>
      <c r="H32" s="156">
        <v>1100000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1100000</v>
      </c>
      <c r="U32" s="23">
        <f>I32+J32+K32+L32+M32+N32+O32+P32+Q32+R32+S32+T32</f>
        <v>1100000</v>
      </c>
      <c r="V32" s="199">
        <f t="shared" si="7"/>
        <v>1100000</v>
      </c>
    </row>
    <row r="33" spans="1:22" ht="12.75">
      <c r="A33" s="5"/>
      <c r="B33" s="29" t="s">
        <v>53</v>
      </c>
      <c r="C33" s="149" t="s">
        <v>116</v>
      </c>
      <c r="D33" s="145"/>
      <c r="E33" s="145"/>
      <c r="F33" s="144"/>
      <c r="G33" s="7"/>
      <c r="H33" s="20">
        <f aca="true" t="shared" si="9" ref="H33:T33">H32</f>
        <v>1100000</v>
      </c>
      <c r="I33" s="19">
        <f t="shared" si="9"/>
        <v>0</v>
      </c>
      <c r="J33" s="19">
        <f t="shared" si="9"/>
        <v>0</v>
      </c>
      <c r="K33" s="19">
        <f t="shared" si="9"/>
        <v>0</v>
      </c>
      <c r="L33" s="19">
        <f t="shared" si="9"/>
        <v>0</v>
      </c>
      <c r="M33" s="19">
        <f t="shared" si="9"/>
        <v>0</v>
      </c>
      <c r="N33" s="19">
        <f t="shared" si="9"/>
        <v>0</v>
      </c>
      <c r="O33" s="19">
        <f t="shared" si="9"/>
        <v>0</v>
      </c>
      <c r="P33" s="19">
        <f t="shared" si="9"/>
        <v>0</v>
      </c>
      <c r="Q33" s="19">
        <f t="shared" si="9"/>
        <v>0</v>
      </c>
      <c r="R33" s="19">
        <f t="shared" si="9"/>
        <v>0</v>
      </c>
      <c r="S33" s="19">
        <f t="shared" si="9"/>
        <v>0</v>
      </c>
      <c r="T33" s="19">
        <f t="shared" si="9"/>
        <v>1100000</v>
      </c>
      <c r="U33" s="23">
        <f>I33+J33+K33+L33+M33+N33+O33+P33+Q33+R33+S33+T33</f>
        <v>1100000</v>
      </c>
      <c r="V33" s="21">
        <f t="shared" si="7"/>
        <v>1100000</v>
      </c>
    </row>
    <row r="34" spans="1:22" ht="12.75">
      <c r="A34" s="5"/>
      <c r="B34" s="31"/>
      <c r="C34" s="118"/>
      <c r="D34" s="114"/>
      <c r="E34" s="114"/>
      <c r="F34" s="113"/>
      <c r="G34" s="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3"/>
      <c r="V34" s="21">
        <f t="shared" si="7"/>
        <v>0</v>
      </c>
    </row>
    <row r="35" spans="1:22" ht="12.75">
      <c r="A35" s="5" t="s">
        <v>42</v>
      </c>
      <c r="B35" s="32" t="s">
        <v>57</v>
      </c>
      <c r="C35" s="144" t="s">
        <v>58</v>
      </c>
      <c r="D35" s="145">
        <v>9310010490</v>
      </c>
      <c r="E35" s="145">
        <v>870</v>
      </c>
      <c r="F35" s="144">
        <v>290</v>
      </c>
      <c r="G35" s="7"/>
      <c r="H35" s="13">
        <v>150000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150000</v>
      </c>
      <c r="U35" s="24">
        <f>I35+J35+K35+L35+M35+N35+O35+P35+Q35+R35+S35+T35</f>
        <v>150000</v>
      </c>
      <c r="V35" s="199">
        <f t="shared" si="7"/>
        <v>150000</v>
      </c>
    </row>
    <row r="36" spans="1:22" ht="12.75">
      <c r="A36" s="5"/>
      <c r="B36" s="29" t="s">
        <v>53</v>
      </c>
      <c r="C36" s="149" t="s">
        <v>19</v>
      </c>
      <c r="D36" s="154"/>
      <c r="E36" s="154"/>
      <c r="F36" s="149"/>
      <c r="G36" s="34"/>
      <c r="H36" s="20">
        <f aca="true" t="shared" si="10" ref="H36:T36">H35</f>
        <v>150000</v>
      </c>
      <c r="I36" s="19">
        <f t="shared" si="10"/>
        <v>0</v>
      </c>
      <c r="J36" s="19">
        <f t="shared" si="10"/>
        <v>0</v>
      </c>
      <c r="K36" s="19">
        <f t="shared" si="10"/>
        <v>0</v>
      </c>
      <c r="L36" s="19">
        <f t="shared" si="10"/>
        <v>0</v>
      </c>
      <c r="M36" s="19">
        <f t="shared" si="10"/>
        <v>0</v>
      </c>
      <c r="N36" s="19">
        <f t="shared" si="10"/>
        <v>0</v>
      </c>
      <c r="O36" s="19">
        <f t="shared" si="10"/>
        <v>0</v>
      </c>
      <c r="P36" s="19">
        <f t="shared" si="10"/>
        <v>0</v>
      </c>
      <c r="Q36" s="19">
        <f t="shared" si="10"/>
        <v>0</v>
      </c>
      <c r="R36" s="19">
        <f t="shared" si="10"/>
        <v>0</v>
      </c>
      <c r="S36" s="19">
        <f t="shared" si="10"/>
        <v>0</v>
      </c>
      <c r="T36" s="19">
        <f t="shared" si="10"/>
        <v>150000</v>
      </c>
      <c r="U36" s="23">
        <f>I36+J36+K36+L36+M36+N36+O36+P36+Q36+R36+S36+T36</f>
        <v>150000</v>
      </c>
      <c r="V36" s="21">
        <f t="shared" si="7"/>
        <v>150000</v>
      </c>
    </row>
    <row r="37" spans="1:22" s="214" customFormat="1" ht="12.75">
      <c r="A37" s="205"/>
      <c r="B37" s="206"/>
      <c r="C37" s="207" t="s">
        <v>8</v>
      </c>
      <c r="D37" s="208">
        <v>9400000000</v>
      </c>
      <c r="E37" s="208"/>
      <c r="F37" s="209"/>
      <c r="G37" s="210"/>
      <c r="H37" s="211">
        <v>60600</v>
      </c>
      <c r="I37" s="211"/>
      <c r="J37" s="211"/>
      <c r="K37" s="211">
        <v>15150</v>
      </c>
      <c r="L37" s="211">
        <v>0</v>
      </c>
      <c r="M37" s="211"/>
      <c r="N37" s="211">
        <v>15150</v>
      </c>
      <c r="O37" s="211">
        <v>0</v>
      </c>
      <c r="P37" s="211"/>
      <c r="Q37" s="211">
        <v>15150</v>
      </c>
      <c r="R37" s="211">
        <v>0</v>
      </c>
      <c r="S37" s="211"/>
      <c r="T37" s="211">
        <v>15150</v>
      </c>
      <c r="U37" s="212"/>
      <c r="V37" s="213">
        <f t="shared" si="7"/>
        <v>60600</v>
      </c>
    </row>
    <row r="38" spans="1:22" ht="12.75">
      <c r="A38" s="5"/>
      <c r="B38" s="31"/>
      <c r="C38" s="149" t="s">
        <v>8</v>
      </c>
      <c r="D38" s="187">
        <v>9420000000</v>
      </c>
      <c r="E38" s="187"/>
      <c r="F38" s="188"/>
      <c r="G38" s="3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4"/>
      <c r="V38" s="21">
        <f t="shared" si="7"/>
        <v>0</v>
      </c>
    </row>
    <row r="39" spans="1:22" ht="12.75">
      <c r="A39" s="5"/>
      <c r="B39" s="31"/>
      <c r="C39" s="149" t="s">
        <v>8</v>
      </c>
      <c r="D39" s="187">
        <v>9420000480</v>
      </c>
      <c r="E39" s="187">
        <v>540</v>
      </c>
      <c r="F39" s="188">
        <v>251</v>
      </c>
      <c r="G39" s="34"/>
      <c r="H39" s="198">
        <v>60600</v>
      </c>
      <c r="I39" s="19"/>
      <c r="J39" s="19"/>
      <c r="K39" s="157">
        <v>15150</v>
      </c>
      <c r="L39" s="157"/>
      <c r="M39" s="157"/>
      <c r="N39" s="157">
        <v>15150</v>
      </c>
      <c r="O39" s="157"/>
      <c r="P39" s="157"/>
      <c r="Q39" s="157">
        <v>15150</v>
      </c>
      <c r="R39" s="157"/>
      <c r="S39" s="157"/>
      <c r="T39" s="157">
        <v>15150</v>
      </c>
      <c r="U39" s="24"/>
      <c r="V39" s="21">
        <f t="shared" si="7"/>
        <v>60600</v>
      </c>
    </row>
    <row r="40" spans="1:22" ht="89.25">
      <c r="A40" s="26" t="s">
        <v>42</v>
      </c>
      <c r="B40" s="35" t="s">
        <v>114</v>
      </c>
      <c r="C40" s="148" t="s">
        <v>8</v>
      </c>
      <c r="D40" s="161">
        <v>5400000000</v>
      </c>
      <c r="E40" s="117"/>
      <c r="F40" s="117"/>
      <c r="G40" s="36"/>
      <c r="H40" s="39">
        <f aca="true" t="shared" si="11" ref="H40:T40">H42+H49+H61</f>
        <v>9981477.52</v>
      </c>
      <c r="I40" s="39">
        <f t="shared" si="11"/>
        <v>531603.52</v>
      </c>
      <c r="J40" s="39">
        <f t="shared" si="11"/>
        <v>612253</v>
      </c>
      <c r="K40" s="39">
        <f t="shared" si="11"/>
        <v>706700</v>
      </c>
      <c r="L40" s="39">
        <f t="shared" si="11"/>
        <v>728267</v>
      </c>
      <c r="M40" s="39">
        <f t="shared" si="11"/>
        <v>685400</v>
      </c>
      <c r="N40" s="39">
        <f t="shared" si="11"/>
        <v>662700</v>
      </c>
      <c r="O40" s="39">
        <f t="shared" si="11"/>
        <v>711750</v>
      </c>
      <c r="P40" s="39">
        <f t="shared" si="11"/>
        <v>934900</v>
      </c>
      <c r="Q40" s="39">
        <f t="shared" si="11"/>
        <v>822700</v>
      </c>
      <c r="R40" s="39">
        <f t="shared" si="11"/>
        <v>1152215</v>
      </c>
      <c r="S40" s="39">
        <f t="shared" si="11"/>
        <v>1239589</v>
      </c>
      <c r="T40" s="39">
        <f t="shared" si="11"/>
        <v>1193400</v>
      </c>
      <c r="U40" s="24">
        <f>I40+J40+K40+L40+M40+N40+O40+P40+Q40+R40+S40+T40</f>
        <v>9981477.52</v>
      </c>
      <c r="V40" s="21">
        <f t="shared" si="7"/>
        <v>9981477.52</v>
      </c>
    </row>
    <row r="41" spans="1:22" ht="12.75">
      <c r="A41" s="42"/>
      <c r="B41" s="43"/>
      <c r="C41" s="122"/>
      <c r="D41" s="123"/>
      <c r="E41" s="123"/>
      <c r="F41" s="123"/>
      <c r="G41" s="4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24"/>
      <c r="V41" s="21">
        <f t="shared" si="7"/>
        <v>0</v>
      </c>
    </row>
    <row r="42" spans="1:22" ht="38.25">
      <c r="A42" s="26" t="s">
        <v>42</v>
      </c>
      <c r="B42" s="35" t="s">
        <v>59</v>
      </c>
      <c r="C42" s="159" t="s">
        <v>8</v>
      </c>
      <c r="D42" s="160">
        <v>5410000000</v>
      </c>
      <c r="E42" s="124"/>
      <c r="F42" s="124"/>
      <c r="G42" s="51"/>
      <c r="H42" s="52">
        <f aca="true" t="shared" si="12" ref="H42:T42">H43+H44+H45+H46+H47</f>
        <v>2529900</v>
      </c>
      <c r="I42" s="52">
        <f t="shared" si="12"/>
        <v>192500</v>
      </c>
      <c r="J42" s="52">
        <f t="shared" si="12"/>
        <v>206700</v>
      </c>
      <c r="K42" s="52">
        <f t="shared" si="12"/>
        <v>192500</v>
      </c>
      <c r="L42" s="52">
        <f t="shared" si="12"/>
        <v>228500</v>
      </c>
      <c r="M42" s="52">
        <f t="shared" si="12"/>
        <v>192500</v>
      </c>
      <c r="N42" s="52">
        <f t="shared" si="12"/>
        <v>192500</v>
      </c>
      <c r="O42" s="52">
        <f t="shared" si="12"/>
        <v>244800</v>
      </c>
      <c r="P42" s="52">
        <f t="shared" si="12"/>
        <v>222700</v>
      </c>
      <c r="Q42" s="52">
        <f t="shared" si="12"/>
        <v>222500</v>
      </c>
      <c r="R42" s="52">
        <f t="shared" si="12"/>
        <v>192500</v>
      </c>
      <c r="S42" s="52">
        <f t="shared" si="12"/>
        <v>203300</v>
      </c>
      <c r="T42" s="52">
        <f t="shared" si="12"/>
        <v>238900</v>
      </c>
      <c r="U42" s="24">
        <f aca="true" t="shared" si="13" ref="U42:U47">I42+J42+K42+L42+M42+N42+O42+P42+Q42+R42+S42+T42</f>
        <v>2529900</v>
      </c>
      <c r="V42" s="21">
        <f t="shared" si="7"/>
        <v>2529900</v>
      </c>
    </row>
    <row r="43" spans="1:22" ht="12.75">
      <c r="A43" s="5" t="s">
        <v>42</v>
      </c>
      <c r="B43" s="3" t="s">
        <v>7</v>
      </c>
      <c r="C43" s="144" t="s">
        <v>8</v>
      </c>
      <c r="D43" s="144">
        <v>5410100590</v>
      </c>
      <c r="E43" s="153">
        <v>111</v>
      </c>
      <c r="F43" s="144">
        <v>211</v>
      </c>
      <c r="G43" s="1"/>
      <c r="H43" s="15">
        <f>1794800+45</f>
        <v>1794845</v>
      </c>
      <c r="I43" s="12">
        <v>149500</v>
      </c>
      <c r="J43" s="12">
        <f>149500+45</f>
        <v>149545</v>
      </c>
      <c r="K43" s="12">
        <v>149500</v>
      </c>
      <c r="L43" s="12">
        <v>149500</v>
      </c>
      <c r="M43" s="12">
        <v>149500</v>
      </c>
      <c r="N43" s="12">
        <v>149500</v>
      </c>
      <c r="O43" s="12">
        <v>149500</v>
      </c>
      <c r="P43" s="12">
        <v>149500</v>
      </c>
      <c r="Q43" s="12">
        <v>149500</v>
      </c>
      <c r="R43" s="12">
        <v>149500</v>
      </c>
      <c r="S43" s="12">
        <v>150300</v>
      </c>
      <c r="T43" s="12">
        <v>149500</v>
      </c>
      <c r="U43" s="24">
        <f t="shared" si="13"/>
        <v>1794845</v>
      </c>
      <c r="V43" s="21">
        <f t="shared" si="7"/>
        <v>1794845</v>
      </c>
    </row>
    <row r="44" spans="1:22" ht="12.75">
      <c r="A44" s="5" t="s">
        <v>42</v>
      </c>
      <c r="B44" s="3" t="s">
        <v>9</v>
      </c>
      <c r="C44" s="144" t="s">
        <v>8</v>
      </c>
      <c r="D44" s="144">
        <v>5410100590</v>
      </c>
      <c r="E44" s="153">
        <v>119</v>
      </c>
      <c r="F44" s="158">
        <v>213</v>
      </c>
      <c r="G44" s="1"/>
      <c r="H44" s="15">
        <f>542100-45</f>
        <v>542055</v>
      </c>
      <c r="I44" s="12">
        <v>43000</v>
      </c>
      <c r="J44" s="12">
        <f>23000-45</f>
        <v>22955</v>
      </c>
      <c r="K44" s="12">
        <v>43000</v>
      </c>
      <c r="L44" s="12">
        <v>33000</v>
      </c>
      <c r="M44" s="12">
        <v>43000</v>
      </c>
      <c r="N44" s="12">
        <v>43000</v>
      </c>
      <c r="O44" s="12">
        <v>43000</v>
      </c>
      <c r="P44" s="12">
        <v>73200</v>
      </c>
      <c r="Q44" s="12">
        <v>43000</v>
      </c>
      <c r="R44" s="12">
        <v>43000</v>
      </c>
      <c r="S44" s="12">
        <v>53000</v>
      </c>
      <c r="T44" s="12">
        <v>58900</v>
      </c>
      <c r="U44" s="24">
        <f t="shared" si="13"/>
        <v>542055</v>
      </c>
      <c r="V44" s="21">
        <f t="shared" si="7"/>
        <v>542055</v>
      </c>
    </row>
    <row r="45" spans="1:22" ht="12.75">
      <c r="A45" s="5" t="s">
        <v>42</v>
      </c>
      <c r="B45" s="3" t="s">
        <v>15</v>
      </c>
      <c r="C45" s="144" t="s">
        <v>8</v>
      </c>
      <c r="D45" s="144">
        <v>5410100590</v>
      </c>
      <c r="E45" s="153">
        <v>244</v>
      </c>
      <c r="F45" s="144">
        <v>226</v>
      </c>
      <c r="G45" s="1"/>
      <c r="H45" s="15">
        <v>160000</v>
      </c>
      <c r="I45" s="12">
        <v>0</v>
      </c>
      <c r="J45" s="12">
        <v>34200</v>
      </c>
      <c r="K45" s="12">
        <v>0</v>
      </c>
      <c r="L45" s="12">
        <v>30000</v>
      </c>
      <c r="M45" s="12">
        <v>0</v>
      </c>
      <c r="N45" s="12">
        <v>0</v>
      </c>
      <c r="O45" s="12">
        <f>70000-34200</f>
        <v>35800</v>
      </c>
      <c r="P45" s="12">
        <v>0</v>
      </c>
      <c r="Q45" s="12">
        <v>30000</v>
      </c>
      <c r="R45" s="12">
        <v>0</v>
      </c>
      <c r="S45" s="12">
        <v>0</v>
      </c>
      <c r="T45" s="12">
        <v>30000</v>
      </c>
      <c r="U45" s="24">
        <f t="shared" si="13"/>
        <v>160000</v>
      </c>
      <c r="V45" s="21">
        <f t="shared" si="7"/>
        <v>160000</v>
      </c>
    </row>
    <row r="46" spans="1:22" ht="12.75">
      <c r="A46" s="5" t="s">
        <v>42</v>
      </c>
      <c r="B46" s="3" t="s">
        <v>17</v>
      </c>
      <c r="C46" s="144" t="s">
        <v>8</v>
      </c>
      <c r="D46" s="144">
        <v>5410100590</v>
      </c>
      <c r="E46" s="153">
        <v>244</v>
      </c>
      <c r="F46" s="144">
        <v>340</v>
      </c>
      <c r="G46" s="1"/>
      <c r="H46" s="15">
        <v>32000</v>
      </c>
      <c r="I46" s="12">
        <v>0</v>
      </c>
      <c r="J46" s="12">
        <v>0</v>
      </c>
      <c r="K46" s="12">
        <v>0</v>
      </c>
      <c r="L46" s="12">
        <v>16000</v>
      </c>
      <c r="M46" s="12">
        <v>0</v>
      </c>
      <c r="N46" s="12">
        <v>0</v>
      </c>
      <c r="O46" s="12">
        <v>16000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24">
        <f t="shared" si="13"/>
        <v>32000</v>
      </c>
      <c r="V46" s="21">
        <f t="shared" si="7"/>
        <v>32000</v>
      </c>
    </row>
    <row r="47" spans="1:22" ht="12.75">
      <c r="A47" s="5" t="s">
        <v>42</v>
      </c>
      <c r="B47" s="3" t="s">
        <v>16</v>
      </c>
      <c r="C47" s="144" t="s">
        <v>8</v>
      </c>
      <c r="D47" s="144">
        <v>5410100590</v>
      </c>
      <c r="E47" s="153">
        <v>852</v>
      </c>
      <c r="F47" s="144">
        <v>290</v>
      </c>
      <c r="G47" s="2" t="s">
        <v>60</v>
      </c>
      <c r="H47" s="15">
        <v>1000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500</v>
      </c>
      <c r="P47" s="12">
        <v>0</v>
      </c>
      <c r="Q47" s="12">
        <v>0</v>
      </c>
      <c r="R47" s="12">
        <v>0</v>
      </c>
      <c r="S47" s="12">
        <v>0</v>
      </c>
      <c r="T47" s="12">
        <v>500</v>
      </c>
      <c r="U47" s="24">
        <f t="shared" si="13"/>
        <v>1000</v>
      </c>
      <c r="V47" s="21">
        <f t="shared" si="7"/>
        <v>1000</v>
      </c>
    </row>
    <row r="48" spans="1:22" ht="12.75">
      <c r="A48" s="5"/>
      <c r="B48" s="3"/>
      <c r="C48" s="113"/>
      <c r="D48" s="113"/>
      <c r="E48" s="120"/>
      <c r="F48" s="113"/>
      <c r="G48" s="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24"/>
      <c r="V48" s="21">
        <f t="shared" si="7"/>
        <v>0</v>
      </c>
    </row>
    <row r="49" spans="1:22" ht="85.5" customHeight="1">
      <c r="A49" s="26" t="s">
        <v>42</v>
      </c>
      <c r="B49" s="35" t="s">
        <v>61</v>
      </c>
      <c r="C49" s="159" t="s">
        <v>8</v>
      </c>
      <c r="D49" s="160">
        <v>5420000000</v>
      </c>
      <c r="E49" s="160"/>
      <c r="F49" s="126"/>
      <c r="G49" s="51"/>
      <c r="H49" s="52">
        <f aca="true" t="shared" si="14" ref="H49:T49">H50+H51+H52+H53+H54+H55+H56+H57+H58+H59</f>
        <v>6309177.52</v>
      </c>
      <c r="I49" s="52">
        <f t="shared" si="14"/>
        <v>276777.52</v>
      </c>
      <c r="J49" s="52">
        <f t="shared" si="14"/>
        <v>312953</v>
      </c>
      <c r="K49" s="52">
        <f t="shared" si="14"/>
        <v>421600</v>
      </c>
      <c r="L49" s="52">
        <f t="shared" si="14"/>
        <v>406667</v>
      </c>
      <c r="M49" s="52">
        <f t="shared" si="14"/>
        <v>400300</v>
      </c>
      <c r="N49" s="52">
        <f t="shared" si="14"/>
        <v>377600</v>
      </c>
      <c r="O49" s="52">
        <f t="shared" si="14"/>
        <v>399350</v>
      </c>
      <c r="P49" s="52">
        <f t="shared" si="14"/>
        <v>619600</v>
      </c>
      <c r="Q49" s="52">
        <f t="shared" si="14"/>
        <v>507600</v>
      </c>
      <c r="R49" s="52">
        <f t="shared" si="14"/>
        <v>867115</v>
      </c>
      <c r="S49" s="52">
        <f t="shared" si="14"/>
        <v>897415</v>
      </c>
      <c r="T49" s="52">
        <f t="shared" si="14"/>
        <v>822200</v>
      </c>
      <c r="U49" s="24">
        <f aca="true" t="shared" si="15" ref="U49:U59">I49+J49+K49+L49+M49+N49+O49+P49+Q49+R49+S49+T49</f>
        <v>6309177.52</v>
      </c>
      <c r="V49" s="21">
        <f t="shared" si="7"/>
        <v>6309177.52</v>
      </c>
    </row>
    <row r="50" spans="1:22" ht="12.75">
      <c r="A50" s="5" t="s">
        <v>42</v>
      </c>
      <c r="B50" s="3" t="s">
        <v>7</v>
      </c>
      <c r="C50" s="144" t="s">
        <v>8</v>
      </c>
      <c r="D50" s="144">
        <v>5420100590</v>
      </c>
      <c r="E50" s="153">
        <v>111</v>
      </c>
      <c r="F50" s="144">
        <v>211</v>
      </c>
      <c r="G50" s="2"/>
      <c r="H50" s="15">
        <v>4330400</v>
      </c>
      <c r="I50" s="12">
        <f>100200+30600</f>
        <v>130800</v>
      </c>
      <c r="J50" s="12">
        <f>180200+30600</f>
        <v>210800</v>
      </c>
      <c r="K50" s="12">
        <f>230200+30600</f>
        <v>260800</v>
      </c>
      <c r="L50" s="12">
        <f>210200+30600</f>
        <v>240800</v>
      </c>
      <c r="M50" s="12">
        <f>230200+30600</f>
        <v>260800</v>
      </c>
      <c r="N50" s="12">
        <f>230200+30600</f>
        <v>260800</v>
      </c>
      <c r="O50" s="12">
        <f>230200+30600</f>
        <v>260800</v>
      </c>
      <c r="P50" s="12">
        <f>430200+30600</f>
        <v>460800</v>
      </c>
      <c r="Q50" s="12">
        <f>330200+30600</f>
        <v>360800</v>
      </c>
      <c r="R50" s="12">
        <f>630200+30600</f>
        <v>660800</v>
      </c>
      <c r="S50" s="12">
        <f>600200+30600</f>
        <v>630800</v>
      </c>
      <c r="T50" s="12">
        <f>560300+30600-700+1400</f>
        <v>591600</v>
      </c>
      <c r="U50" s="24">
        <f t="shared" si="15"/>
        <v>4330400</v>
      </c>
      <c r="V50" s="21">
        <f t="shared" si="7"/>
        <v>4330400</v>
      </c>
    </row>
    <row r="51" spans="1:22" ht="12.75">
      <c r="A51" s="5" t="s">
        <v>42</v>
      </c>
      <c r="B51" s="3" t="s">
        <v>9</v>
      </c>
      <c r="C51" s="144" t="s">
        <v>8</v>
      </c>
      <c r="D51" s="144">
        <v>5420100590</v>
      </c>
      <c r="E51" s="153">
        <v>119</v>
      </c>
      <c r="F51" s="144">
        <v>213</v>
      </c>
      <c r="G51" s="2"/>
      <c r="H51" s="15">
        <v>1307800</v>
      </c>
      <c r="I51" s="12">
        <f>79700+9200</f>
        <v>88900</v>
      </c>
      <c r="J51" s="12">
        <f>69700+9200</f>
        <v>78900</v>
      </c>
      <c r="K51" s="12">
        <f>75100+9200</f>
        <v>84300</v>
      </c>
      <c r="L51" s="12">
        <f>99700+9200</f>
        <v>108900</v>
      </c>
      <c r="M51" s="12">
        <f>99700+9200</f>
        <v>108900</v>
      </c>
      <c r="N51" s="12">
        <f>69700+9200</f>
        <v>78900</v>
      </c>
      <c r="O51" s="12">
        <f>99700+9200</f>
        <v>108900</v>
      </c>
      <c r="P51" s="12">
        <f>99700+9200</f>
        <v>108900</v>
      </c>
      <c r="Q51" s="12">
        <f>99700+9200</f>
        <v>108900</v>
      </c>
      <c r="R51" s="12">
        <f>124200+9200</f>
        <v>133400</v>
      </c>
      <c r="S51" s="12">
        <f>129700+10000</f>
        <v>139700</v>
      </c>
      <c r="T51" s="12">
        <f>150000+9200</f>
        <v>159200</v>
      </c>
      <c r="U51" s="24">
        <f t="shared" si="15"/>
        <v>1307800</v>
      </c>
      <c r="V51" s="21">
        <f t="shared" si="7"/>
        <v>1307800</v>
      </c>
    </row>
    <row r="52" spans="1:22" ht="12.75">
      <c r="A52" s="5" t="s">
        <v>42</v>
      </c>
      <c r="B52" s="3" t="s">
        <v>15</v>
      </c>
      <c r="C52" s="144" t="s">
        <v>8</v>
      </c>
      <c r="D52" s="144">
        <v>5420100590</v>
      </c>
      <c r="E52" s="153">
        <v>244</v>
      </c>
      <c r="F52" s="144">
        <v>226</v>
      </c>
      <c r="G52" s="2"/>
      <c r="H52" s="15">
        <v>93000</v>
      </c>
      <c r="I52" s="12">
        <v>0</v>
      </c>
      <c r="J52" s="12">
        <v>0</v>
      </c>
      <c r="K52" s="12">
        <v>0</v>
      </c>
      <c r="L52" s="12">
        <v>15000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15000</v>
      </c>
      <c r="S52" s="12">
        <v>63000</v>
      </c>
      <c r="T52" s="12">
        <v>0</v>
      </c>
      <c r="U52" s="24">
        <f t="shared" si="15"/>
        <v>93000</v>
      </c>
      <c r="V52" s="21">
        <f t="shared" si="7"/>
        <v>93000</v>
      </c>
    </row>
    <row r="53" spans="1:22" ht="12.75">
      <c r="A53" s="5" t="s">
        <v>42</v>
      </c>
      <c r="B53" s="3" t="s">
        <v>16</v>
      </c>
      <c r="C53" s="144" t="s">
        <v>8</v>
      </c>
      <c r="D53" s="144">
        <v>5420100590</v>
      </c>
      <c r="E53" s="153">
        <v>244</v>
      </c>
      <c r="F53" s="144">
        <v>290</v>
      </c>
      <c r="G53" s="2"/>
      <c r="H53" s="15">
        <v>60000</v>
      </c>
      <c r="I53" s="12">
        <v>3000</v>
      </c>
      <c r="J53" s="12">
        <v>4200</v>
      </c>
      <c r="K53" s="12">
        <v>7000</v>
      </c>
      <c r="L53" s="12">
        <f>10700-4000</f>
        <v>6700</v>
      </c>
      <c r="M53" s="12">
        <f>10700-3000</f>
        <v>7700</v>
      </c>
      <c r="N53" s="12">
        <v>0</v>
      </c>
      <c r="O53" s="12">
        <v>0</v>
      </c>
      <c r="P53" s="12">
        <v>0</v>
      </c>
      <c r="Q53" s="12">
        <v>0</v>
      </c>
      <c r="R53" s="12">
        <v>10700</v>
      </c>
      <c r="S53" s="12">
        <v>10500</v>
      </c>
      <c r="T53" s="12">
        <v>10200</v>
      </c>
      <c r="U53" s="24">
        <f t="shared" si="15"/>
        <v>60000</v>
      </c>
      <c r="V53" s="21">
        <f t="shared" si="7"/>
        <v>60000</v>
      </c>
    </row>
    <row r="54" spans="1:22" ht="12.75">
      <c r="A54" s="5" t="s">
        <v>42</v>
      </c>
      <c r="B54" s="3" t="s">
        <v>18</v>
      </c>
      <c r="C54" s="144" t="s">
        <v>8</v>
      </c>
      <c r="D54" s="144">
        <v>5420100590</v>
      </c>
      <c r="E54" s="153">
        <v>244</v>
      </c>
      <c r="F54" s="144">
        <v>310</v>
      </c>
      <c r="G54" s="2"/>
      <c r="H54" s="15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24">
        <f t="shared" si="15"/>
        <v>0</v>
      </c>
      <c r="V54" s="21">
        <f t="shared" si="7"/>
        <v>0</v>
      </c>
    </row>
    <row r="55" spans="1:22" ht="12.75">
      <c r="A55" s="5" t="s">
        <v>42</v>
      </c>
      <c r="B55" s="3" t="s">
        <v>17</v>
      </c>
      <c r="C55" s="144" t="s">
        <v>8</v>
      </c>
      <c r="D55" s="144">
        <v>5420100590</v>
      </c>
      <c r="E55" s="153">
        <v>244</v>
      </c>
      <c r="F55" s="144">
        <v>340</v>
      </c>
      <c r="G55" s="2"/>
      <c r="H55" s="15">
        <v>90000</v>
      </c>
      <c r="I55" s="12">
        <v>10000</v>
      </c>
      <c r="J55" s="12">
        <v>1800</v>
      </c>
      <c r="K55" s="12">
        <f>11300+10000</f>
        <v>21300</v>
      </c>
      <c r="L55" s="12">
        <v>0</v>
      </c>
      <c r="M55" s="12">
        <v>0</v>
      </c>
      <c r="N55" s="12">
        <v>0</v>
      </c>
      <c r="O55" s="12">
        <v>0</v>
      </c>
      <c r="P55" s="12">
        <v>12000</v>
      </c>
      <c r="Q55" s="12">
        <v>0</v>
      </c>
      <c r="R55" s="12">
        <v>17585</v>
      </c>
      <c r="S55" s="12">
        <v>15515</v>
      </c>
      <c r="T55" s="12">
        <v>11800</v>
      </c>
      <c r="U55" s="24">
        <f t="shared" si="15"/>
        <v>90000</v>
      </c>
      <c r="V55" s="21">
        <f t="shared" si="7"/>
        <v>90000</v>
      </c>
    </row>
    <row r="56" spans="1:22" ht="12.75">
      <c r="A56" s="5" t="s">
        <v>42</v>
      </c>
      <c r="B56" s="3" t="s">
        <v>17</v>
      </c>
      <c r="C56" s="144" t="s">
        <v>8</v>
      </c>
      <c r="D56" s="144">
        <v>5420100590</v>
      </c>
      <c r="E56" s="153">
        <v>244</v>
      </c>
      <c r="F56" s="144">
        <v>340</v>
      </c>
      <c r="G56" s="2" t="s">
        <v>46</v>
      </c>
      <c r="H56" s="15">
        <f>391600+26177.52</f>
        <v>417777.52</v>
      </c>
      <c r="I56" s="12">
        <f>22700-4800+26177.52</f>
        <v>44077.520000000004</v>
      </c>
      <c r="J56" s="12">
        <f>17700-4800</f>
        <v>12900</v>
      </c>
      <c r="K56" s="12">
        <f>53000-4800</f>
        <v>48200</v>
      </c>
      <c r="L56" s="12">
        <f>39000-4800</f>
        <v>34200</v>
      </c>
      <c r="M56" s="12">
        <f>27700-4800</f>
        <v>22900</v>
      </c>
      <c r="N56" s="12">
        <f>42700-4800</f>
        <v>37900</v>
      </c>
      <c r="O56" s="12">
        <f>32700-4800</f>
        <v>27900</v>
      </c>
      <c r="P56" s="12">
        <f>42700-4800</f>
        <v>37900</v>
      </c>
      <c r="Q56" s="12">
        <f>42700-4800</f>
        <v>37900</v>
      </c>
      <c r="R56" s="12">
        <f>32700-4800</f>
        <v>27900</v>
      </c>
      <c r="S56" s="12">
        <f>42700-4800</f>
        <v>37900</v>
      </c>
      <c r="T56" s="12">
        <f>52900-4800</f>
        <v>48100</v>
      </c>
      <c r="U56" s="24">
        <f t="shared" si="15"/>
        <v>417777.52</v>
      </c>
      <c r="V56" s="21">
        <f t="shared" si="7"/>
        <v>417777.52</v>
      </c>
    </row>
    <row r="57" spans="1:22" ht="12.75">
      <c r="A57" s="5" t="s">
        <v>42</v>
      </c>
      <c r="B57" s="3" t="s">
        <v>16</v>
      </c>
      <c r="C57" s="144" t="s">
        <v>8</v>
      </c>
      <c r="D57" s="144">
        <v>5420100590</v>
      </c>
      <c r="E57" s="153">
        <v>851</v>
      </c>
      <c r="F57" s="144">
        <v>290</v>
      </c>
      <c r="G57" s="2" t="s">
        <v>60</v>
      </c>
      <c r="H57" s="15">
        <v>4000</v>
      </c>
      <c r="I57" s="12">
        <v>0</v>
      </c>
      <c r="J57" s="12">
        <v>683</v>
      </c>
      <c r="K57" s="12">
        <v>0</v>
      </c>
      <c r="L57" s="12">
        <f>1000-683</f>
        <v>317</v>
      </c>
      <c r="M57" s="12">
        <v>0</v>
      </c>
      <c r="N57" s="12">
        <v>0</v>
      </c>
      <c r="O57" s="12">
        <v>1000</v>
      </c>
      <c r="P57" s="12">
        <v>0</v>
      </c>
      <c r="Q57" s="12">
        <v>0</v>
      </c>
      <c r="R57" s="12">
        <v>1000</v>
      </c>
      <c r="S57" s="12">
        <v>0</v>
      </c>
      <c r="T57" s="12">
        <v>1000</v>
      </c>
      <c r="U57" s="24">
        <f t="shared" si="15"/>
        <v>4000</v>
      </c>
      <c r="V57" s="21">
        <f t="shared" si="7"/>
        <v>4000</v>
      </c>
    </row>
    <row r="58" spans="1:22" ht="12.75">
      <c r="A58" s="5" t="s">
        <v>42</v>
      </c>
      <c r="B58" s="3" t="s">
        <v>16</v>
      </c>
      <c r="C58" s="144" t="s">
        <v>8</v>
      </c>
      <c r="D58" s="144">
        <v>5420100590</v>
      </c>
      <c r="E58" s="153">
        <v>852</v>
      </c>
      <c r="F58" s="144">
        <v>290</v>
      </c>
      <c r="G58" s="2" t="s">
        <v>60</v>
      </c>
      <c r="H58" s="15">
        <v>5000</v>
      </c>
      <c r="I58" s="12">
        <v>0</v>
      </c>
      <c r="J58" s="12">
        <v>3670</v>
      </c>
      <c r="K58" s="12">
        <v>0</v>
      </c>
      <c r="L58" s="12">
        <f>1250-800</f>
        <v>450</v>
      </c>
      <c r="M58" s="12">
        <v>0</v>
      </c>
      <c r="N58" s="12">
        <v>0</v>
      </c>
      <c r="O58" s="12">
        <f>1250-800</f>
        <v>450</v>
      </c>
      <c r="P58" s="12">
        <v>0</v>
      </c>
      <c r="Q58" s="12">
        <v>0</v>
      </c>
      <c r="R58" s="12">
        <f>1250-820</f>
        <v>430</v>
      </c>
      <c r="S58" s="12">
        <v>0</v>
      </c>
      <c r="T58" s="12">
        <v>0</v>
      </c>
      <c r="U58" s="24">
        <f t="shared" si="15"/>
        <v>5000</v>
      </c>
      <c r="V58" s="21">
        <f t="shared" si="7"/>
        <v>5000</v>
      </c>
    </row>
    <row r="59" spans="1:22" ht="12.75">
      <c r="A59" s="5" t="s">
        <v>42</v>
      </c>
      <c r="B59" s="3" t="s">
        <v>16</v>
      </c>
      <c r="C59" s="144" t="s">
        <v>8</v>
      </c>
      <c r="D59" s="144">
        <v>5420100590</v>
      </c>
      <c r="E59" s="153">
        <v>853</v>
      </c>
      <c r="F59" s="144">
        <v>290</v>
      </c>
      <c r="G59" s="2" t="s">
        <v>60</v>
      </c>
      <c r="H59" s="15">
        <v>1200</v>
      </c>
      <c r="I59" s="12">
        <v>0</v>
      </c>
      <c r="J59" s="12">
        <v>0</v>
      </c>
      <c r="K59" s="12">
        <v>0</v>
      </c>
      <c r="L59" s="12">
        <v>300</v>
      </c>
      <c r="M59" s="12">
        <v>0</v>
      </c>
      <c r="N59" s="12">
        <v>0</v>
      </c>
      <c r="O59" s="12">
        <v>300</v>
      </c>
      <c r="P59" s="12">
        <v>0</v>
      </c>
      <c r="Q59" s="12">
        <v>0</v>
      </c>
      <c r="R59" s="12">
        <v>300</v>
      </c>
      <c r="S59" s="12">
        <v>0</v>
      </c>
      <c r="T59" s="12">
        <v>300</v>
      </c>
      <c r="U59" s="24">
        <f t="shared" si="15"/>
        <v>1200</v>
      </c>
      <c r="V59" s="21">
        <f t="shared" si="7"/>
        <v>1200</v>
      </c>
    </row>
    <row r="60" spans="1:22" ht="12.75">
      <c r="A60" s="5"/>
      <c r="B60" s="1"/>
      <c r="C60" s="113"/>
      <c r="D60" s="113"/>
      <c r="E60" s="120"/>
      <c r="F60" s="113"/>
      <c r="G60" s="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24"/>
      <c r="V60" s="21">
        <f aca="true" t="shared" si="16" ref="V60:V91">SUM(I60:T60)</f>
        <v>0</v>
      </c>
    </row>
    <row r="61" spans="1:22" ht="51">
      <c r="A61" s="26" t="s">
        <v>42</v>
      </c>
      <c r="B61" s="35" t="s">
        <v>62</v>
      </c>
      <c r="C61" s="159" t="s">
        <v>8</v>
      </c>
      <c r="D61" s="160">
        <v>5430000000</v>
      </c>
      <c r="E61" s="124"/>
      <c r="F61" s="126"/>
      <c r="G61" s="51"/>
      <c r="H61" s="52">
        <f aca="true" t="shared" si="17" ref="H61:T61">H62+H63+H64+H65+H66</f>
        <v>1142400</v>
      </c>
      <c r="I61" s="52">
        <f t="shared" si="17"/>
        <v>62326</v>
      </c>
      <c r="J61" s="52">
        <f t="shared" si="17"/>
        <v>92600</v>
      </c>
      <c r="K61" s="52">
        <f t="shared" si="17"/>
        <v>92600</v>
      </c>
      <c r="L61" s="52">
        <f t="shared" si="17"/>
        <v>93100</v>
      </c>
      <c r="M61" s="52">
        <f t="shared" si="17"/>
        <v>92600</v>
      </c>
      <c r="N61" s="52">
        <f t="shared" si="17"/>
        <v>92600</v>
      </c>
      <c r="O61" s="52">
        <f t="shared" si="17"/>
        <v>67600</v>
      </c>
      <c r="P61" s="52">
        <f t="shared" si="17"/>
        <v>92600</v>
      </c>
      <c r="Q61" s="52">
        <f t="shared" si="17"/>
        <v>92600</v>
      </c>
      <c r="R61" s="52">
        <f t="shared" si="17"/>
        <v>92600</v>
      </c>
      <c r="S61" s="52">
        <f t="shared" si="17"/>
        <v>138874</v>
      </c>
      <c r="T61" s="52">
        <f t="shared" si="17"/>
        <v>132300</v>
      </c>
      <c r="U61" s="24">
        <f aca="true" t="shared" si="18" ref="U61:U66">I61+J61+K61+L61+M61+N61+O61+P61+Q61+R61+S61+T61</f>
        <v>1142400</v>
      </c>
      <c r="V61" s="21">
        <f t="shared" si="16"/>
        <v>1142400</v>
      </c>
    </row>
    <row r="62" spans="1:22" ht="12.75">
      <c r="A62" s="5" t="s">
        <v>42</v>
      </c>
      <c r="B62" s="3" t="s">
        <v>7</v>
      </c>
      <c r="C62" s="144" t="s">
        <v>8</v>
      </c>
      <c r="D62" s="144">
        <v>5430100590</v>
      </c>
      <c r="E62" s="153">
        <v>111</v>
      </c>
      <c r="F62" s="144">
        <v>211</v>
      </c>
      <c r="G62" s="2"/>
      <c r="H62" s="15">
        <f>854000+14</f>
        <v>854014</v>
      </c>
      <c r="I62" s="12">
        <f>47800+3300+14</f>
        <v>51114</v>
      </c>
      <c r="J62" s="12">
        <f>67800+3300</f>
        <v>71100</v>
      </c>
      <c r="K62" s="12">
        <f>67800+3300</f>
        <v>71100</v>
      </c>
      <c r="L62" s="12">
        <f>67800+3300</f>
        <v>71100</v>
      </c>
      <c r="M62" s="12">
        <f>67800+3300</f>
        <v>71100</v>
      </c>
      <c r="N62" s="12">
        <f>67800+3300</f>
        <v>71100</v>
      </c>
      <c r="O62" s="12">
        <f>47800+3300</f>
        <v>51100</v>
      </c>
      <c r="P62" s="12">
        <f>67800+3300</f>
        <v>71100</v>
      </c>
      <c r="Q62" s="12">
        <f>67800+3300</f>
        <v>71100</v>
      </c>
      <c r="R62" s="12">
        <f>67800+3300</f>
        <v>71100</v>
      </c>
      <c r="S62" s="12">
        <f>87800+4400</f>
        <v>92200</v>
      </c>
      <c r="T62" s="12">
        <f>87500+3300</f>
        <v>90800</v>
      </c>
      <c r="U62" s="24">
        <f t="shared" si="18"/>
        <v>854014</v>
      </c>
      <c r="V62" s="21">
        <f t="shared" si="16"/>
        <v>854014</v>
      </c>
    </row>
    <row r="63" spans="1:22" ht="12.75">
      <c r="A63" s="5" t="s">
        <v>42</v>
      </c>
      <c r="B63" s="3" t="s">
        <v>9</v>
      </c>
      <c r="C63" s="144" t="s">
        <v>8</v>
      </c>
      <c r="D63" s="144">
        <v>5430100590</v>
      </c>
      <c r="E63" s="153">
        <v>119</v>
      </c>
      <c r="F63" s="144">
        <v>213</v>
      </c>
      <c r="G63" s="2"/>
      <c r="H63" s="15">
        <f>257900+12</f>
        <v>257912</v>
      </c>
      <c r="I63" s="12">
        <f>11200+12</f>
        <v>11212</v>
      </c>
      <c r="J63" s="12">
        <v>21500</v>
      </c>
      <c r="K63" s="12">
        <v>21500</v>
      </c>
      <c r="L63" s="12">
        <v>21500</v>
      </c>
      <c r="M63" s="12">
        <v>21500</v>
      </c>
      <c r="N63" s="12">
        <v>21500</v>
      </c>
      <c r="O63" s="12">
        <v>11500</v>
      </c>
      <c r="P63" s="12">
        <v>21500</v>
      </c>
      <c r="Q63" s="12">
        <v>21500</v>
      </c>
      <c r="R63" s="12">
        <v>21500</v>
      </c>
      <c r="S63" s="12">
        <v>31700</v>
      </c>
      <c r="T63" s="12">
        <v>31500</v>
      </c>
      <c r="U63" s="24">
        <f t="shared" si="18"/>
        <v>257912</v>
      </c>
      <c r="V63" s="21">
        <f t="shared" si="16"/>
        <v>257912</v>
      </c>
    </row>
    <row r="64" spans="1:22" ht="12.75">
      <c r="A64" s="5" t="s">
        <v>42</v>
      </c>
      <c r="B64" s="3" t="s">
        <v>15</v>
      </c>
      <c r="C64" s="144" t="s">
        <v>8</v>
      </c>
      <c r="D64" s="144">
        <v>5430100590</v>
      </c>
      <c r="E64" s="153">
        <v>244</v>
      </c>
      <c r="F64" s="144">
        <v>226</v>
      </c>
      <c r="G64" s="2"/>
      <c r="H64" s="15">
        <f>20000-26</f>
        <v>19974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f>10000-26</f>
        <v>9974</v>
      </c>
      <c r="T64" s="12">
        <v>10000</v>
      </c>
      <c r="U64" s="24">
        <f t="shared" si="18"/>
        <v>19974</v>
      </c>
      <c r="V64" s="21">
        <f t="shared" si="16"/>
        <v>19974</v>
      </c>
    </row>
    <row r="65" spans="1:22" ht="12.75">
      <c r="A65" s="5" t="s">
        <v>42</v>
      </c>
      <c r="B65" s="3" t="s">
        <v>17</v>
      </c>
      <c r="C65" s="144" t="s">
        <v>8</v>
      </c>
      <c r="D65" s="144">
        <v>5430100590</v>
      </c>
      <c r="E65" s="153">
        <v>244</v>
      </c>
      <c r="F65" s="144">
        <v>340</v>
      </c>
      <c r="G65" s="2"/>
      <c r="H65" s="15">
        <v>10000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5000</v>
      </c>
      <c r="P65" s="12">
        <v>0</v>
      </c>
      <c r="Q65" s="12">
        <v>0</v>
      </c>
      <c r="R65" s="12">
        <v>0</v>
      </c>
      <c r="S65" s="12">
        <v>5000</v>
      </c>
      <c r="T65" s="12">
        <v>0</v>
      </c>
      <c r="U65" s="24">
        <f t="shared" si="18"/>
        <v>10000</v>
      </c>
      <c r="V65" s="21">
        <f t="shared" si="16"/>
        <v>10000</v>
      </c>
    </row>
    <row r="66" spans="1:22" ht="12.75">
      <c r="A66" s="5" t="s">
        <v>42</v>
      </c>
      <c r="B66" s="3" t="s">
        <v>16</v>
      </c>
      <c r="C66" s="144" t="s">
        <v>8</v>
      </c>
      <c r="D66" s="144">
        <v>5430100590</v>
      </c>
      <c r="E66" s="153">
        <v>853</v>
      </c>
      <c r="F66" s="144">
        <v>290</v>
      </c>
      <c r="G66" s="2" t="s">
        <v>60</v>
      </c>
      <c r="H66" s="15">
        <v>500</v>
      </c>
      <c r="I66" s="12">
        <v>0</v>
      </c>
      <c r="J66" s="12">
        <v>0</v>
      </c>
      <c r="K66" s="12">
        <v>0</v>
      </c>
      <c r="L66" s="12">
        <v>500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24">
        <f t="shared" si="18"/>
        <v>500</v>
      </c>
      <c r="V66" s="21">
        <f t="shared" si="16"/>
        <v>500</v>
      </c>
    </row>
    <row r="67" spans="1:22" ht="12.75">
      <c r="A67" s="5"/>
      <c r="B67" s="1"/>
      <c r="C67" s="113"/>
      <c r="D67" s="113"/>
      <c r="E67" s="120"/>
      <c r="F67" s="113"/>
      <c r="G67" s="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4"/>
      <c r="V67" s="21">
        <f t="shared" si="16"/>
        <v>0</v>
      </c>
    </row>
    <row r="68" spans="1:22" ht="89.25">
      <c r="A68" s="26" t="s">
        <v>42</v>
      </c>
      <c r="B68" s="35" t="s">
        <v>117</v>
      </c>
      <c r="C68" s="148" t="s">
        <v>8</v>
      </c>
      <c r="D68" s="161">
        <v>5500000000</v>
      </c>
      <c r="E68" s="124"/>
      <c r="F68" s="126"/>
      <c r="G68" s="41"/>
      <c r="H68" s="39">
        <f aca="true" t="shared" si="19" ref="H68:T68">H70+H86+H89+H93</f>
        <v>1200230.71</v>
      </c>
      <c r="I68" s="39">
        <f t="shared" si="19"/>
        <v>44137.5</v>
      </c>
      <c r="J68" s="39">
        <f t="shared" si="19"/>
        <v>59100</v>
      </c>
      <c r="K68" s="39">
        <f t="shared" si="19"/>
        <v>64100</v>
      </c>
      <c r="L68" s="39">
        <f t="shared" si="19"/>
        <v>186100</v>
      </c>
      <c r="M68" s="39">
        <f t="shared" si="19"/>
        <v>64100</v>
      </c>
      <c r="N68" s="39">
        <f t="shared" si="19"/>
        <v>59800</v>
      </c>
      <c r="O68" s="39">
        <f t="shared" si="19"/>
        <v>85100</v>
      </c>
      <c r="P68" s="39">
        <f t="shared" si="19"/>
        <v>44100</v>
      </c>
      <c r="Q68" s="39">
        <f t="shared" si="19"/>
        <v>49400</v>
      </c>
      <c r="R68" s="39">
        <f t="shared" si="19"/>
        <v>165308.73</v>
      </c>
      <c r="S68" s="39">
        <f t="shared" si="19"/>
        <v>172357.48</v>
      </c>
      <c r="T68" s="39">
        <f t="shared" si="19"/>
        <v>206627</v>
      </c>
      <c r="U68" s="24">
        <f>I68+J68+K68+L68+M68+N68+O68+P68+Q68+R68+S68+T68</f>
        <v>1200230.71</v>
      </c>
      <c r="V68" s="21">
        <f t="shared" si="16"/>
        <v>1200230.71</v>
      </c>
    </row>
    <row r="69" spans="1:22" ht="12.75">
      <c r="A69" s="5"/>
      <c r="B69" s="1"/>
      <c r="C69" s="113"/>
      <c r="D69" s="113"/>
      <c r="E69" s="120"/>
      <c r="F69" s="113"/>
      <c r="G69" s="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4"/>
      <c r="V69" s="21">
        <f t="shared" si="16"/>
        <v>0</v>
      </c>
    </row>
    <row r="70" spans="1:22" ht="86.25" customHeight="1">
      <c r="A70" s="26" t="s">
        <v>42</v>
      </c>
      <c r="B70" s="35" t="s">
        <v>118</v>
      </c>
      <c r="C70" s="159" t="s">
        <v>8</v>
      </c>
      <c r="D70" s="160">
        <v>5510000000</v>
      </c>
      <c r="E70" s="124"/>
      <c r="F70" s="126"/>
      <c r="G70" s="51"/>
      <c r="H70" s="52">
        <f aca="true" t="shared" si="20" ref="H70:T70">H71+H72+H73+H74+H75+H76+H80+H81+H82+H83</f>
        <v>803630.71</v>
      </c>
      <c r="I70" s="52">
        <f t="shared" si="20"/>
        <v>44137.5</v>
      </c>
      <c r="J70" s="52">
        <f t="shared" si="20"/>
        <v>30400</v>
      </c>
      <c r="K70" s="52">
        <f t="shared" si="20"/>
        <v>35400</v>
      </c>
      <c r="L70" s="52">
        <f t="shared" si="20"/>
        <v>157400</v>
      </c>
      <c r="M70" s="52">
        <f t="shared" si="20"/>
        <v>35400</v>
      </c>
      <c r="N70" s="52">
        <f t="shared" si="20"/>
        <v>31100</v>
      </c>
      <c r="O70" s="52">
        <f t="shared" si="20"/>
        <v>56400</v>
      </c>
      <c r="P70" s="52">
        <f t="shared" si="20"/>
        <v>15400</v>
      </c>
      <c r="Q70" s="52">
        <f t="shared" si="20"/>
        <v>20700</v>
      </c>
      <c r="R70" s="52">
        <f t="shared" si="20"/>
        <v>131608.73</v>
      </c>
      <c r="S70" s="52">
        <f t="shared" si="20"/>
        <v>137057.48</v>
      </c>
      <c r="T70" s="52">
        <f t="shared" si="20"/>
        <v>108627</v>
      </c>
      <c r="U70" s="24">
        <f aca="true" t="shared" si="21" ref="U70:U76">I70+J70+K70+L70+M70+N70+O70+P70+Q70+R70+S70+T70</f>
        <v>803630.71</v>
      </c>
      <c r="V70" s="21">
        <f t="shared" si="16"/>
        <v>803630.71</v>
      </c>
    </row>
    <row r="71" spans="1:22" ht="41.25" customHeight="1" hidden="1">
      <c r="A71" s="5" t="s">
        <v>42</v>
      </c>
      <c r="B71" s="47" t="s">
        <v>16</v>
      </c>
      <c r="C71" s="119" t="s">
        <v>8</v>
      </c>
      <c r="D71" s="127">
        <v>5510110010</v>
      </c>
      <c r="E71" s="127">
        <v>244</v>
      </c>
      <c r="F71" s="127">
        <v>290</v>
      </c>
      <c r="G71" s="48"/>
      <c r="H71" s="15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24">
        <f t="shared" si="21"/>
        <v>0</v>
      </c>
      <c r="V71" s="21">
        <f t="shared" si="16"/>
        <v>0</v>
      </c>
    </row>
    <row r="72" spans="1:22" ht="24.75" customHeight="1">
      <c r="A72" s="5" t="s">
        <v>42</v>
      </c>
      <c r="B72" s="3" t="s">
        <v>12</v>
      </c>
      <c r="C72" s="152" t="s">
        <v>8</v>
      </c>
      <c r="D72" s="162">
        <v>5510110010</v>
      </c>
      <c r="E72" s="162">
        <v>244</v>
      </c>
      <c r="F72" s="162">
        <v>221</v>
      </c>
      <c r="G72" s="48" t="s">
        <v>100</v>
      </c>
      <c r="H72" s="15">
        <v>8000</v>
      </c>
      <c r="I72" s="12">
        <v>600</v>
      </c>
      <c r="J72" s="12">
        <v>600</v>
      </c>
      <c r="K72" s="12">
        <v>600</v>
      </c>
      <c r="L72" s="12">
        <v>600</v>
      </c>
      <c r="M72" s="12">
        <v>600</v>
      </c>
      <c r="N72" s="12">
        <v>600</v>
      </c>
      <c r="O72" s="12">
        <v>600</v>
      </c>
      <c r="P72" s="12">
        <v>600</v>
      </c>
      <c r="Q72" s="12">
        <v>600</v>
      </c>
      <c r="R72" s="12">
        <v>600</v>
      </c>
      <c r="S72" s="12">
        <v>1000</v>
      </c>
      <c r="T72" s="12">
        <v>1000</v>
      </c>
      <c r="U72" s="24">
        <f t="shared" si="21"/>
        <v>8000</v>
      </c>
      <c r="V72" s="21">
        <f t="shared" si="16"/>
        <v>8000</v>
      </c>
    </row>
    <row r="73" spans="1:22" ht="24.75" customHeight="1">
      <c r="A73" s="5" t="s">
        <v>42</v>
      </c>
      <c r="B73" s="3" t="s">
        <v>13</v>
      </c>
      <c r="C73" s="152" t="s">
        <v>8</v>
      </c>
      <c r="D73" s="162">
        <v>5510110010</v>
      </c>
      <c r="E73" s="162">
        <v>244</v>
      </c>
      <c r="F73" s="162">
        <v>223</v>
      </c>
      <c r="G73" s="48" t="s">
        <v>101</v>
      </c>
      <c r="H73" s="15">
        <v>171700</v>
      </c>
      <c r="I73" s="12">
        <v>14300</v>
      </c>
      <c r="J73" s="12">
        <v>14300</v>
      </c>
      <c r="K73" s="12">
        <v>14300</v>
      </c>
      <c r="L73" s="12">
        <v>14300</v>
      </c>
      <c r="M73" s="12">
        <v>14300</v>
      </c>
      <c r="N73" s="12">
        <v>10000</v>
      </c>
      <c r="O73" s="12">
        <v>5000</v>
      </c>
      <c r="P73" s="12">
        <v>10000</v>
      </c>
      <c r="Q73" s="12">
        <v>14300</v>
      </c>
      <c r="R73" s="12">
        <v>18600</v>
      </c>
      <c r="S73" s="12">
        <v>18600</v>
      </c>
      <c r="T73" s="12">
        <v>23700</v>
      </c>
      <c r="U73" s="24">
        <f t="shared" si="21"/>
        <v>171700</v>
      </c>
      <c r="V73" s="21">
        <f t="shared" si="16"/>
        <v>171700</v>
      </c>
    </row>
    <row r="74" spans="1:22" ht="18.75" customHeight="1">
      <c r="A74" s="5" t="s">
        <v>42</v>
      </c>
      <c r="B74" s="3" t="s">
        <v>13</v>
      </c>
      <c r="C74" s="152" t="s">
        <v>8</v>
      </c>
      <c r="D74" s="162">
        <v>5510110010</v>
      </c>
      <c r="E74" s="162">
        <v>244</v>
      </c>
      <c r="F74" s="162">
        <v>223</v>
      </c>
      <c r="G74" s="48" t="s">
        <v>43</v>
      </c>
      <c r="H74" s="15">
        <v>11500</v>
      </c>
      <c r="I74" s="12">
        <v>900</v>
      </c>
      <c r="J74" s="12">
        <v>900</v>
      </c>
      <c r="K74" s="12">
        <v>900</v>
      </c>
      <c r="L74" s="12">
        <v>900</v>
      </c>
      <c r="M74" s="12">
        <v>900</v>
      </c>
      <c r="N74" s="12">
        <v>900</v>
      </c>
      <c r="O74" s="12">
        <v>900</v>
      </c>
      <c r="P74" s="12">
        <v>900</v>
      </c>
      <c r="Q74" s="12">
        <v>900</v>
      </c>
      <c r="R74" s="12">
        <v>900</v>
      </c>
      <c r="S74" s="12">
        <v>900</v>
      </c>
      <c r="T74" s="12">
        <v>1600</v>
      </c>
      <c r="U74" s="24">
        <f t="shared" si="21"/>
        <v>11500</v>
      </c>
      <c r="V74" s="21">
        <f t="shared" si="16"/>
        <v>11500</v>
      </c>
    </row>
    <row r="75" spans="1:22" ht="15.75" customHeight="1">
      <c r="A75" s="5" t="s">
        <v>42</v>
      </c>
      <c r="B75" s="3" t="s">
        <v>13</v>
      </c>
      <c r="C75" s="152" t="s">
        <v>8</v>
      </c>
      <c r="D75" s="162">
        <v>5510110010</v>
      </c>
      <c r="E75" s="162">
        <v>244</v>
      </c>
      <c r="F75" s="162">
        <v>223</v>
      </c>
      <c r="G75" s="48" t="s">
        <v>45</v>
      </c>
      <c r="H75" s="15">
        <f>187800-57942.52</f>
        <v>129857.48000000001</v>
      </c>
      <c r="I75" s="12">
        <v>7000</v>
      </c>
      <c r="J75" s="12">
        <v>8700</v>
      </c>
      <c r="K75" s="12">
        <v>15700</v>
      </c>
      <c r="L75" s="12">
        <v>15700</v>
      </c>
      <c r="M75" s="12">
        <v>15700</v>
      </c>
      <c r="N75" s="12">
        <v>15700</v>
      </c>
      <c r="O75" s="12">
        <v>0</v>
      </c>
      <c r="P75" s="12">
        <v>0</v>
      </c>
      <c r="Q75" s="12">
        <v>0</v>
      </c>
      <c r="R75" s="12">
        <v>15700</v>
      </c>
      <c r="S75" s="12">
        <f>38400-2742.52</f>
        <v>35657.48</v>
      </c>
      <c r="T75" s="12">
        <f>55200-57942.52+2742.52</f>
        <v>0</v>
      </c>
      <c r="U75" s="24">
        <f t="shared" si="21"/>
        <v>129857.48000000001</v>
      </c>
      <c r="V75" s="21">
        <f t="shared" si="16"/>
        <v>129857.48000000001</v>
      </c>
    </row>
    <row r="76" spans="1:22" ht="17.25" customHeight="1">
      <c r="A76" s="5" t="s">
        <v>42</v>
      </c>
      <c r="B76" s="3" t="s">
        <v>13</v>
      </c>
      <c r="C76" s="152" t="s">
        <v>8</v>
      </c>
      <c r="D76" s="162">
        <v>5510110010</v>
      </c>
      <c r="E76" s="162">
        <v>244</v>
      </c>
      <c r="F76" s="162">
        <v>223</v>
      </c>
      <c r="G76" s="48" t="s">
        <v>102</v>
      </c>
      <c r="H76" s="15">
        <v>50000</v>
      </c>
      <c r="I76" s="12">
        <v>2000</v>
      </c>
      <c r="J76" s="12">
        <v>3900</v>
      </c>
      <c r="K76" s="12">
        <v>3900</v>
      </c>
      <c r="L76" s="12">
        <v>3900</v>
      </c>
      <c r="M76" s="12">
        <v>3900</v>
      </c>
      <c r="N76" s="12">
        <v>3900</v>
      </c>
      <c r="O76" s="12">
        <v>3900</v>
      </c>
      <c r="P76" s="12">
        <v>3900</v>
      </c>
      <c r="Q76" s="12">
        <v>4900</v>
      </c>
      <c r="R76" s="12">
        <v>4900</v>
      </c>
      <c r="S76" s="12">
        <v>4900</v>
      </c>
      <c r="T76" s="12">
        <v>6000</v>
      </c>
      <c r="U76" s="24">
        <f t="shared" si="21"/>
        <v>50000</v>
      </c>
      <c r="V76" s="21">
        <f t="shared" si="16"/>
        <v>50000</v>
      </c>
    </row>
    <row r="77" spans="1:22" ht="41.25" customHeight="1" hidden="1">
      <c r="A77" s="5"/>
      <c r="B77" s="47"/>
      <c r="C77" s="119"/>
      <c r="D77" s="127"/>
      <c r="E77" s="127"/>
      <c r="F77" s="127"/>
      <c r="G77" s="48"/>
      <c r="H77" s="1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24"/>
      <c r="V77" s="21">
        <f t="shared" si="16"/>
        <v>0</v>
      </c>
    </row>
    <row r="78" spans="1:22" ht="41.25" customHeight="1" hidden="1">
      <c r="A78" s="5"/>
      <c r="B78" s="47"/>
      <c r="C78" s="119"/>
      <c r="D78" s="127"/>
      <c r="E78" s="127"/>
      <c r="F78" s="127"/>
      <c r="G78" s="48"/>
      <c r="H78" s="1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24"/>
      <c r="V78" s="21">
        <f t="shared" si="16"/>
        <v>0</v>
      </c>
    </row>
    <row r="79" spans="1:22" ht="41.25" customHeight="1" hidden="1">
      <c r="A79" s="5"/>
      <c r="B79" s="47"/>
      <c r="C79" s="119"/>
      <c r="D79" s="127"/>
      <c r="E79" s="127"/>
      <c r="F79" s="127"/>
      <c r="G79" s="48"/>
      <c r="H79" s="1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24"/>
      <c r="V79" s="21">
        <f t="shared" si="16"/>
        <v>0</v>
      </c>
    </row>
    <row r="80" spans="1:22" ht="12.75">
      <c r="A80" s="5" t="s">
        <v>42</v>
      </c>
      <c r="B80" s="3" t="s">
        <v>17</v>
      </c>
      <c r="C80" s="144" t="s">
        <v>8</v>
      </c>
      <c r="D80" s="162">
        <v>5510110010</v>
      </c>
      <c r="E80" s="145">
        <v>244</v>
      </c>
      <c r="F80" s="144">
        <v>340</v>
      </c>
      <c r="G80" s="7"/>
      <c r="H80" s="15">
        <f>304300+19364.5</f>
        <v>323664.5</v>
      </c>
      <c r="I80" s="12">
        <v>19337.5</v>
      </c>
      <c r="J80" s="12">
        <v>0</v>
      </c>
      <c r="K80" s="12">
        <v>0</v>
      </c>
      <c r="L80" s="12">
        <v>76000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76000</v>
      </c>
      <c r="S80" s="12">
        <v>76000</v>
      </c>
      <c r="T80" s="12">
        <f>76300+33-6</f>
        <v>76327</v>
      </c>
      <c r="U80" s="24">
        <f aca="true" t="shared" si="22" ref="U80:U87">I80+J80+K80+L80+M80+N80+O80+P80+Q80+R80+S80+T80</f>
        <v>323664.5</v>
      </c>
      <c r="V80" s="21">
        <f t="shared" si="16"/>
        <v>323664.5</v>
      </c>
    </row>
    <row r="81" spans="1:22" ht="12.75" hidden="1">
      <c r="A81" s="5" t="s">
        <v>42</v>
      </c>
      <c r="B81" s="3" t="s">
        <v>17</v>
      </c>
      <c r="C81" s="113" t="s">
        <v>8</v>
      </c>
      <c r="D81" s="127">
        <v>5510110010</v>
      </c>
      <c r="E81" s="114">
        <v>244</v>
      </c>
      <c r="F81" s="113">
        <v>340</v>
      </c>
      <c r="G81" s="7" t="s">
        <v>46</v>
      </c>
      <c r="H81" s="100">
        <v>0</v>
      </c>
      <c r="I81" s="78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  <c r="U81" s="24">
        <f t="shared" si="22"/>
        <v>0</v>
      </c>
      <c r="V81" s="21">
        <f t="shared" si="16"/>
        <v>0</v>
      </c>
    </row>
    <row r="82" spans="1:22" ht="12.75">
      <c r="A82" s="5" t="s">
        <v>42</v>
      </c>
      <c r="B82" s="3" t="s">
        <v>15</v>
      </c>
      <c r="C82" s="144" t="s">
        <v>8</v>
      </c>
      <c r="D82" s="162">
        <v>5510110010</v>
      </c>
      <c r="E82" s="145">
        <v>244</v>
      </c>
      <c r="F82" s="144">
        <v>226</v>
      </c>
      <c r="G82" s="7"/>
      <c r="H82" s="100">
        <f>185027-57942.52-95391.27-2700+79915.52</f>
        <v>108908.73000000001</v>
      </c>
      <c r="I82" s="101">
        <v>0</v>
      </c>
      <c r="J82" s="101">
        <v>2000</v>
      </c>
      <c r="K82" s="101">
        <v>0</v>
      </c>
      <c r="L82" s="101">
        <v>46000</v>
      </c>
      <c r="M82" s="101">
        <v>0</v>
      </c>
      <c r="N82" s="101">
        <v>0</v>
      </c>
      <c r="O82" s="101">
        <v>46000</v>
      </c>
      <c r="P82" s="101">
        <v>0</v>
      </c>
      <c r="Q82" s="101">
        <v>0</v>
      </c>
      <c r="R82" s="101">
        <v>14908.73</v>
      </c>
      <c r="S82" s="101">
        <v>0</v>
      </c>
      <c r="T82" s="101">
        <f>47027+79915.52-126942.52</f>
        <v>0</v>
      </c>
      <c r="U82" s="24">
        <f t="shared" si="22"/>
        <v>108908.73</v>
      </c>
      <c r="V82" s="21">
        <f t="shared" si="16"/>
        <v>108908.73</v>
      </c>
    </row>
    <row r="83" spans="1:22" ht="12.75" hidden="1">
      <c r="A83" s="5" t="s">
        <v>42</v>
      </c>
      <c r="B83" s="47" t="s">
        <v>16</v>
      </c>
      <c r="C83" s="113" t="s">
        <v>8</v>
      </c>
      <c r="D83" s="127">
        <v>5510110010</v>
      </c>
      <c r="E83" s="114">
        <v>244</v>
      </c>
      <c r="F83" s="113">
        <v>290</v>
      </c>
      <c r="G83" s="7" t="s">
        <v>60</v>
      </c>
      <c r="H83" s="100">
        <v>0</v>
      </c>
      <c r="I83" s="78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24">
        <f t="shared" si="22"/>
        <v>0</v>
      </c>
      <c r="V83" s="21">
        <f t="shared" si="16"/>
        <v>0</v>
      </c>
    </row>
    <row r="84" spans="1:22" ht="12.75">
      <c r="A84" s="5"/>
      <c r="B84" s="3"/>
      <c r="C84" s="113"/>
      <c r="D84" s="127"/>
      <c r="E84" s="114"/>
      <c r="F84" s="113"/>
      <c r="G84" s="7"/>
      <c r="H84" s="101"/>
      <c r="I84" s="78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24">
        <f t="shared" si="22"/>
        <v>0</v>
      </c>
      <c r="V84" s="21">
        <f t="shared" si="16"/>
        <v>0</v>
      </c>
    </row>
    <row r="85" spans="1:22" ht="12.75" hidden="1">
      <c r="A85" s="42"/>
      <c r="B85" s="43"/>
      <c r="C85" s="125"/>
      <c r="D85" s="125"/>
      <c r="E85" s="127"/>
      <c r="F85" s="125"/>
      <c r="G85" s="46"/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24">
        <f t="shared" si="22"/>
        <v>0</v>
      </c>
      <c r="V85" s="21">
        <f t="shared" si="16"/>
        <v>0</v>
      </c>
    </row>
    <row r="86" spans="1:22" ht="123" customHeight="1">
      <c r="A86" s="26" t="s">
        <v>42</v>
      </c>
      <c r="B86" s="35" t="s">
        <v>119</v>
      </c>
      <c r="C86" s="159" t="s">
        <v>8</v>
      </c>
      <c r="D86" s="160">
        <v>5520000000</v>
      </c>
      <c r="E86" s="160"/>
      <c r="F86" s="126"/>
      <c r="G86" s="51"/>
      <c r="H86" s="100">
        <f aca="true" t="shared" si="23" ref="H86:T86">H87</f>
        <v>344600</v>
      </c>
      <c r="I86" s="100">
        <f t="shared" si="23"/>
        <v>0</v>
      </c>
      <c r="J86" s="100">
        <f t="shared" si="23"/>
        <v>28700</v>
      </c>
      <c r="K86" s="100">
        <f t="shared" si="23"/>
        <v>28700</v>
      </c>
      <c r="L86" s="100">
        <f t="shared" si="23"/>
        <v>28700</v>
      </c>
      <c r="M86" s="100">
        <f t="shared" si="23"/>
        <v>28700</v>
      </c>
      <c r="N86" s="100">
        <f t="shared" si="23"/>
        <v>28700</v>
      </c>
      <c r="O86" s="100">
        <f t="shared" si="23"/>
        <v>28700</v>
      </c>
      <c r="P86" s="100">
        <f t="shared" si="23"/>
        <v>28700</v>
      </c>
      <c r="Q86" s="100">
        <f t="shared" si="23"/>
        <v>28700</v>
      </c>
      <c r="R86" s="100">
        <f t="shared" si="23"/>
        <v>28700</v>
      </c>
      <c r="S86" s="100">
        <f t="shared" si="23"/>
        <v>30300</v>
      </c>
      <c r="T86" s="100">
        <f t="shared" si="23"/>
        <v>56000</v>
      </c>
      <c r="U86" s="24">
        <f t="shared" si="22"/>
        <v>344600</v>
      </c>
      <c r="V86" s="21">
        <f t="shared" si="16"/>
        <v>344600</v>
      </c>
    </row>
    <row r="87" spans="1:22" ht="24.75" customHeight="1">
      <c r="A87" s="5" t="s">
        <v>42</v>
      </c>
      <c r="B87" s="47" t="s">
        <v>15</v>
      </c>
      <c r="C87" s="152" t="s">
        <v>8</v>
      </c>
      <c r="D87" s="162">
        <v>5520110020</v>
      </c>
      <c r="E87" s="162">
        <v>360</v>
      </c>
      <c r="F87" s="127"/>
      <c r="G87" s="46" t="s">
        <v>63</v>
      </c>
      <c r="H87" s="15">
        <v>344600</v>
      </c>
      <c r="I87" s="12">
        <v>0</v>
      </c>
      <c r="J87" s="12">
        <f aca="true" t="shared" si="24" ref="J87:R87">27300+1400</f>
        <v>28700</v>
      </c>
      <c r="K87" s="12">
        <f t="shared" si="24"/>
        <v>28700</v>
      </c>
      <c r="L87" s="12">
        <f t="shared" si="24"/>
        <v>28700</v>
      </c>
      <c r="M87" s="12">
        <f t="shared" si="24"/>
        <v>28700</v>
      </c>
      <c r="N87" s="12">
        <f t="shared" si="24"/>
        <v>28700</v>
      </c>
      <c r="O87" s="12">
        <f t="shared" si="24"/>
        <v>28700</v>
      </c>
      <c r="P87" s="12">
        <f t="shared" si="24"/>
        <v>28700</v>
      </c>
      <c r="Q87" s="12">
        <f t="shared" si="24"/>
        <v>28700</v>
      </c>
      <c r="R87" s="12">
        <f t="shared" si="24"/>
        <v>28700</v>
      </c>
      <c r="S87" s="12">
        <f>27300+1400+1600</f>
        <v>30300</v>
      </c>
      <c r="T87" s="12">
        <f>54600+1400</f>
        <v>56000</v>
      </c>
      <c r="U87" s="24">
        <f t="shared" si="22"/>
        <v>344600</v>
      </c>
      <c r="V87" s="21">
        <f t="shared" si="16"/>
        <v>344600</v>
      </c>
    </row>
    <row r="88" spans="1:22" ht="12.75">
      <c r="A88" s="5"/>
      <c r="B88" s="1"/>
      <c r="C88" s="144"/>
      <c r="D88" s="144"/>
      <c r="E88" s="153"/>
      <c r="F88" s="113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V88" s="21">
        <f t="shared" si="16"/>
        <v>0</v>
      </c>
    </row>
    <row r="89" spans="1:22" ht="114.75">
      <c r="A89" s="26" t="s">
        <v>42</v>
      </c>
      <c r="B89" s="35" t="s">
        <v>120</v>
      </c>
      <c r="C89" s="159" t="s">
        <v>8</v>
      </c>
      <c r="D89" s="160">
        <v>5530000000</v>
      </c>
      <c r="E89" s="160"/>
      <c r="F89" s="163"/>
      <c r="G89" s="36"/>
      <c r="H89" s="100">
        <f aca="true" t="shared" si="25" ref="H89:T89">H91</f>
        <v>10000</v>
      </c>
      <c r="I89" s="52">
        <f t="shared" si="25"/>
        <v>0</v>
      </c>
      <c r="J89" s="52">
        <f t="shared" si="25"/>
        <v>0</v>
      </c>
      <c r="K89" s="52">
        <f t="shared" si="25"/>
        <v>0</v>
      </c>
      <c r="L89" s="52">
        <f t="shared" si="25"/>
        <v>0</v>
      </c>
      <c r="M89" s="52">
        <f t="shared" si="25"/>
        <v>0</v>
      </c>
      <c r="N89" s="52">
        <f t="shared" si="25"/>
        <v>0</v>
      </c>
      <c r="O89" s="52">
        <f t="shared" si="25"/>
        <v>0</v>
      </c>
      <c r="P89" s="52">
        <f t="shared" si="25"/>
        <v>0</v>
      </c>
      <c r="Q89" s="52">
        <f t="shared" si="25"/>
        <v>0</v>
      </c>
      <c r="R89" s="52">
        <f t="shared" si="25"/>
        <v>5000</v>
      </c>
      <c r="S89" s="52">
        <f t="shared" si="25"/>
        <v>5000</v>
      </c>
      <c r="T89" s="52">
        <f t="shared" si="25"/>
        <v>0</v>
      </c>
      <c r="U89" s="24">
        <f>I89+J89+K89+L89+M89+N89+O89+P89+Q89+R89+S89+T89</f>
        <v>10000</v>
      </c>
      <c r="V89" s="21">
        <f t="shared" si="16"/>
        <v>10000</v>
      </c>
    </row>
    <row r="90" spans="1:22" ht="12.75">
      <c r="A90" s="26"/>
      <c r="B90" s="35"/>
      <c r="C90" s="159"/>
      <c r="D90" s="160"/>
      <c r="E90" s="160"/>
      <c r="F90" s="163"/>
      <c r="G90" s="36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V90" s="21">
        <f t="shared" si="16"/>
        <v>0</v>
      </c>
    </row>
    <row r="91" spans="1:22" ht="12.75">
      <c r="A91" s="5" t="s">
        <v>42</v>
      </c>
      <c r="B91" s="47" t="s">
        <v>16</v>
      </c>
      <c r="C91" s="152" t="s">
        <v>8</v>
      </c>
      <c r="D91" s="162">
        <v>5530110030</v>
      </c>
      <c r="E91" s="153">
        <v>244</v>
      </c>
      <c r="F91" s="144">
        <v>290</v>
      </c>
      <c r="G91" s="7"/>
      <c r="H91" s="15">
        <v>10000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5000</v>
      </c>
      <c r="S91" s="12">
        <v>5000</v>
      </c>
      <c r="T91" s="12">
        <v>0</v>
      </c>
      <c r="U91" s="24">
        <f>I91+J91+K91+L91+M91+N91+O91+P91+Q91+R91+S91+T91</f>
        <v>10000</v>
      </c>
      <c r="V91" s="21">
        <f t="shared" si="16"/>
        <v>10000</v>
      </c>
    </row>
    <row r="92" spans="1:22" ht="12.75">
      <c r="A92" s="5"/>
      <c r="B92" s="47"/>
      <c r="C92" s="119"/>
      <c r="D92" s="127"/>
      <c r="E92" s="120"/>
      <c r="F92" s="113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4">
        <f>I92+J92+K92+L92+M92+N92+O92+P92+Q92+R92+S92+T92</f>
        <v>0</v>
      </c>
      <c r="V92" s="21">
        <f aca="true" t="shared" si="26" ref="V92:V112">SUM(I92:T92)</f>
        <v>0</v>
      </c>
    </row>
    <row r="93" spans="1:22" ht="89.25">
      <c r="A93" s="26" t="s">
        <v>42</v>
      </c>
      <c r="B93" s="35" t="s">
        <v>121</v>
      </c>
      <c r="C93" s="159" t="s">
        <v>8</v>
      </c>
      <c r="D93" s="160">
        <v>5540000000</v>
      </c>
      <c r="E93" s="160"/>
      <c r="F93" s="163"/>
      <c r="G93" s="51"/>
      <c r="H93" s="15">
        <f aca="true" t="shared" si="27" ref="H93:T93">H94</f>
        <v>42000</v>
      </c>
      <c r="I93" s="15">
        <f t="shared" si="27"/>
        <v>0</v>
      </c>
      <c r="J93" s="15">
        <f t="shared" si="27"/>
        <v>0</v>
      </c>
      <c r="K93" s="15">
        <f t="shared" si="27"/>
        <v>0</v>
      </c>
      <c r="L93" s="15">
        <f t="shared" si="27"/>
        <v>0</v>
      </c>
      <c r="M93" s="15">
        <f t="shared" si="27"/>
        <v>0</v>
      </c>
      <c r="N93" s="15">
        <f t="shared" si="27"/>
        <v>0</v>
      </c>
      <c r="O93" s="15">
        <f t="shared" si="27"/>
        <v>0</v>
      </c>
      <c r="P93" s="15">
        <f t="shared" si="27"/>
        <v>0</v>
      </c>
      <c r="Q93" s="15">
        <f t="shared" si="27"/>
        <v>0</v>
      </c>
      <c r="R93" s="15">
        <f t="shared" si="27"/>
        <v>0</v>
      </c>
      <c r="S93" s="15">
        <f t="shared" si="27"/>
        <v>0</v>
      </c>
      <c r="T93" s="15">
        <f t="shared" si="27"/>
        <v>42000</v>
      </c>
      <c r="U93" s="24">
        <f>I93+J93+K93+L93+M93+N93+O93+P93+Q93+R93+S93+T93</f>
        <v>42000</v>
      </c>
      <c r="V93" s="21">
        <f t="shared" si="26"/>
        <v>42000</v>
      </c>
    </row>
    <row r="94" spans="1:22" ht="12.75">
      <c r="A94" s="5" t="s">
        <v>42</v>
      </c>
      <c r="B94" s="47" t="s">
        <v>15</v>
      </c>
      <c r="C94" s="152" t="s">
        <v>8</v>
      </c>
      <c r="D94" s="162">
        <v>5540110040</v>
      </c>
      <c r="E94" s="153">
        <v>244</v>
      </c>
      <c r="F94" s="144">
        <v>226</v>
      </c>
      <c r="G94" s="2"/>
      <c r="H94" s="15">
        <f>100000-58000</f>
        <v>42000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f>100000-58000</f>
        <v>42000</v>
      </c>
      <c r="U94" s="24">
        <f>I94+J94+K94+L94+M94+N94+O94+P94+Q94+R94+S94+T94</f>
        <v>42000</v>
      </c>
      <c r="V94" s="21">
        <f t="shared" si="26"/>
        <v>42000</v>
      </c>
    </row>
    <row r="95" spans="1:22" ht="12.75">
      <c r="A95" s="5"/>
      <c r="B95" s="47"/>
      <c r="C95" s="119"/>
      <c r="D95" s="127"/>
      <c r="E95" s="120"/>
      <c r="F95" s="113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4"/>
      <c r="V95" s="21">
        <f t="shared" si="26"/>
        <v>0</v>
      </c>
    </row>
    <row r="96" spans="1:22" ht="105" customHeight="1">
      <c r="A96" s="26" t="s">
        <v>42</v>
      </c>
      <c r="B96" s="35" t="s">
        <v>122</v>
      </c>
      <c r="C96" s="148" t="s">
        <v>8</v>
      </c>
      <c r="D96" s="161">
        <v>5600000000</v>
      </c>
      <c r="E96" s="124"/>
      <c r="F96" s="126"/>
      <c r="G96" s="41"/>
      <c r="H96" s="107">
        <f aca="true" t="shared" si="28" ref="H96:T96">H98+H104</f>
        <v>1138520.94</v>
      </c>
      <c r="I96" s="39">
        <f t="shared" si="28"/>
        <v>41400</v>
      </c>
      <c r="J96" s="39">
        <f t="shared" si="28"/>
        <v>203930.94</v>
      </c>
      <c r="K96" s="39">
        <f t="shared" si="28"/>
        <v>52700</v>
      </c>
      <c r="L96" s="39">
        <f t="shared" si="28"/>
        <v>84800</v>
      </c>
      <c r="M96" s="39">
        <f t="shared" si="28"/>
        <v>65500</v>
      </c>
      <c r="N96" s="39">
        <f t="shared" si="28"/>
        <v>27300</v>
      </c>
      <c r="O96" s="39">
        <f t="shared" si="28"/>
        <v>32300</v>
      </c>
      <c r="P96" s="39">
        <f t="shared" si="28"/>
        <v>106600</v>
      </c>
      <c r="Q96" s="39">
        <f t="shared" si="28"/>
        <v>30100</v>
      </c>
      <c r="R96" s="39">
        <f t="shared" si="28"/>
        <v>163300</v>
      </c>
      <c r="S96" s="39">
        <f t="shared" si="28"/>
        <v>162490</v>
      </c>
      <c r="T96" s="39">
        <f t="shared" si="28"/>
        <v>168100</v>
      </c>
      <c r="U96" s="24">
        <f>I96+J96+K96+L96+M96+N96+O96+P96+Q96+R96+S96+T96</f>
        <v>1138520.94</v>
      </c>
      <c r="V96" s="21">
        <f t="shared" si="26"/>
        <v>1138520.94</v>
      </c>
    </row>
    <row r="97" spans="1:22" ht="15" customHeight="1">
      <c r="A97" s="5"/>
      <c r="B97" s="47"/>
      <c r="C97" s="119"/>
      <c r="D97" s="127"/>
      <c r="E97" s="120"/>
      <c r="F97" s="113"/>
      <c r="G97" s="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24"/>
      <c r="V97" s="21">
        <f t="shared" si="26"/>
        <v>0</v>
      </c>
    </row>
    <row r="98" spans="1:22" ht="115.5" customHeight="1">
      <c r="A98" s="26" t="s">
        <v>42</v>
      </c>
      <c r="B98" s="35" t="s">
        <v>103</v>
      </c>
      <c r="C98" s="159" t="s">
        <v>8</v>
      </c>
      <c r="D98" s="160">
        <v>5610000000</v>
      </c>
      <c r="E98" s="124"/>
      <c r="F98" s="126"/>
      <c r="G98" s="51"/>
      <c r="H98" s="100">
        <f aca="true" t="shared" si="29" ref="H98:T98">H99+H100+H102+H101</f>
        <v>1038520.94</v>
      </c>
      <c r="I98" s="52">
        <f t="shared" si="29"/>
        <v>41400</v>
      </c>
      <c r="J98" s="52">
        <f t="shared" si="29"/>
        <v>149520.94</v>
      </c>
      <c r="K98" s="52">
        <f t="shared" si="29"/>
        <v>44200</v>
      </c>
      <c r="L98" s="52">
        <f t="shared" si="29"/>
        <v>76300</v>
      </c>
      <c r="M98" s="52">
        <f t="shared" si="29"/>
        <v>57000</v>
      </c>
      <c r="N98" s="52">
        <f t="shared" si="29"/>
        <v>27300</v>
      </c>
      <c r="O98" s="52">
        <f t="shared" si="29"/>
        <v>32300</v>
      </c>
      <c r="P98" s="52">
        <f t="shared" si="29"/>
        <v>106600</v>
      </c>
      <c r="Q98" s="52">
        <f t="shared" si="29"/>
        <v>30100</v>
      </c>
      <c r="R98" s="52">
        <f t="shared" si="29"/>
        <v>155300</v>
      </c>
      <c r="S98" s="52">
        <f t="shared" si="29"/>
        <v>157400</v>
      </c>
      <c r="T98" s="52">
        <f t="shared" si="29"/>
        <v>161100</v>
      </c>
      <c r="U98" s="24">
        <f aca="true" t="shared" si="30" ref="U98:U111">I98+J98+K98+L98+M98+N98+O98+P98+Q98+R98+S98+T98</f>
        <v>1038520.94</v>
      </c>
      <c r="V98" s="21">
        <f t="shared" si="26"/>
        <v>1038520.94</v>
      </c>
    </row>
    <row r="99" spans="1:22" ht="15" customHeight="1">
      <c r="A99" s="5" t="s">
        <v>42</v>
      </c>
      <c r="B99" s="47" t="s">
        <v>15</v>
      </c>
      <c r="C99" s="164" t="s">
        <v>8</v>
      </c>
      <c r="D99" s="162">
        <v>5610110060</v>
      </c>
      <c r="E99" s="162">
        <v>244</v>
      </c>
      <c r="F99" s="158">
        <v>226</v>
      </c>
      <c r="G99" s="45"/>
      <c r="H99" s="15">
        <v>571100</v>
      </c>
      <c r="I99" s="12">
        <v>27400</v>
      </c>
      <c r="J99" s="12">
        <f>6000+59200+59200</f>
        <v>124400</v>
      </c>
      <c r="K99" s="12">
        <v>7400</v>
      </c>
      <c r="L99" s="12">
        <v>40000</v>
      </c>
      <c r="M99" s="12">
        <v>20200</v>
      </c>
      <c r="N99" s="12">
        <v>0</v>
      </c>
      <c r="O99" s="12">
        <v>0</v>
      </c>
      <c r="P99" s="12">
        <f>138500-59200</f>
        <v>79300</v>
      </c>
      <c r="Q99" s="12">
        <v>2800</v>
      </c>
      <c r="R99" s="12">
        <v>103000</v>
      </c>
      <c r="S99" s="12">
        <f>149800-59200</f>
        <v>90600</v>
      </c>
      <c r="T99" s="12">
        <v>76000</v>
      </c>
      <c r="U99" s="24">
        <f t="shared" si="30"/>
        <v>571100</v>
      </c>
      <c r="V99" s="21">
        <f t="shared" si="26"/>
        <v>571100</v>
      </c>
    </row>
    <row r="100" spans="1:22" ht="15" customHeight="1">
      <c r="A100" s="25" t="s">
        <v>42</v>
      </c>
      <c r="B100" s="3" t="s">
        <v>12</v>
      </c>
      <c r="C100" s="164" t="s">
        <v>8</v>
      </c>
      <c r="D100" s="162">
        <v>5610110060</v>
      </c>
      <c r="E100" s="162">
        <v>242</v>
      </c>
      <c r="F100" s="158">
        <v>221</v>
      </c>
      <c r="G100" s="46" t="s">
        <v>96</v>
      </c>
      <c r="H100" s="15">
        <f>168000+19820.94</f>
        <v>187820.94</v>
      </c>
      <c r="I100" s="12">
        <v>4000</v>
      </c>
      <c r="J100" s="12">
        <f>7000+19820.94-9000</f>
        <v>17820.94</v>
      </c>
      <c r="K100" s="12">
        <v>14000</v>
      </c>
      <c r="L100" s="12">
        <v>14000</v>
      </c>
      <c r="M100" s="12">
        <v>14000</v>
      </c>
      <c r="N100" s="12">
        <v>14000</v>
      </c>
      <c r="O100" s="12">
        <v>14000</v>
      </c>
      <c r="P100" s="12">
        <v>14000</v>
      </c>
      <c r="Q100" s="12">
        <v>14000</v>
      </c>
      <c r="R100" s="12">
        <f>14000+9000</f>
        <v>23000</v>
      </c>
      <c r="S100" s="12">
        <v>21000</v>
      </c>
      <c r="T100" s="12">
        <v>24000</v>
      </c>
      <c r="U100" s="24">
        <f t="shared" si="30"/>
        <v>187820.94</v>
      </c>
      <c r="V100" s="21">
        <f t="shared" si="26"/>
        <v>187820.94</v>
      </c>
    </row>
    <row r="101" spans="1:22" ht="28.5" customHeight="1">
      <c r="A101" s="25" t="s">
        <v>42</v>
      </c>
      <c r="B101" s="3" t="s">
        <v>12</v>
      </c>
      <c r="C101" s="164" t="s">
        <v>8</v>
      </c>
      <c r="D101" s="162">
        <v>5610110060</v>
      </c>
      <c r="E101" s="162">
        <v>242</v>
      </c>
      <c r="F101" s="158">
        <v>221</v>
      </c>
      <c r="G101" s="103" t="s">
        <v>104</v>
      </c>
      <c r="H101" s="15">
        <v>159600</v>
      </c>
      <c r="I101" s="12">
        <v>10000</v>
      </c>
      <c r="J101" s="12">
        <v>7300</v>
      </c>
      <c r="K101" s="12">
        <v>13300</v>
      </c>
      <c r="L101" s="12">
        <v>13300</v>
      </c>
      <c r="M101" s="12">
        <v>13300</v>
      </c>
      <c r="N101" s="12">
        <v>13300</v>
      </c>
      <c r="O101" s="12">
        <v>13300</v>
      </c>
      <c r="P101" s="12">
        <v>13300</v>
      </c>
      <c r="Q101" s="12">
        <v>13300</v>
      </c>
      <c r="R101" s="12">
        <v>16300</v>
      </c>
      <c r="S101" s="12">
        <v>13300</v>
      </c>
      <c r="T101" s="12">
        <v>19600</v>
      </c>
      <c r="U101" s="24">
        <f t="shared" si="30"/>
        <v>159600</v>
      </c>
      <c r="V101" s="21">
        <f t="shared" si="26"/>
        <v>159600</v>
      </c>
    </row>
    <row r="102" spans="1:22" ht="17.25" customHeight="1">
      <c r="A102" s="5" t="s">
        <v>42</v>
      </c>
      <c r="B102" s="3" t="s">
        <v>18</v>
      </c>
      <c r="C102" s="164" t="s">
        <v>8</v>
      </c>
      <c r="D102" s="162">
        <v>5610110060</v>
      </c>
      <c r="E102" s="162">
        <v>244</v>
      </c>
      <c r="F102" s="158">
        <v>310</v>
      </c>
      <c r="G102" s="46"/>
      <c r="H102" s="17">
        <v>120000</v>
      </c>
      <c r="I102" s="12">
        <v>0</v>
      </c>
      <c r="J102" s="12">
        <v>0</v>
      </c>
      <c r="K102" s="12">
        <v>9500</v>
      </c>
      <c r="L102" s="12">
        <v>9000</v>
      </c>
      <c r="M102" s="12">
        <v>9500</v>
      </c>
      <c r="N102" s="12">
        <v>0</v>
      </c>
      <c r="O102" s="12">
        <v>5000</v>
      </c>
      <c r="P102" s="12">
        <v>0</v>
      </c>
      <c r="Q102" s="12">
        <v>0</v>
      </c>
      <c r="R102" s="12">
        <v>13000</v>
      </c>
      <c r="S102" s="12">
        <v>32500</v>
      </c>
      <c r="T102" s="12">
        <v>41500</v>
      </c>
      <c r="U102" s="24">
        <f t="shared" si="30"/>
        <v>120000</v>
      </c>
      <c r="V102" s="21">
        <f t="shared" si="26"/>
        <v>120000</v>
      </c>
    </row>
    <row r="103" spans="1:22" ht="15" customHeight="1">
      <c r="A103" s="42"/>
      <c r="B103" s="43"/>
      <c r="C103" s="122"/>
      <c r="D103" s="123"/>
      <c r="E103" s="127"/>
      <c r="F103" s="125"/>
      <c r="G103" s="46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24">
        <f t="shared" si="30"/>
        <v>0</v>
      </c>
      <c r="V103" s="21">
        <f t="shared" si="26"/>
        <v>0</v>
      </c>
    </row>
    <row r="104" spans="1:22" ht="86.25" customHeight="1">
      <c r="A104" s="26" t="s">
        <v>42</v>
      </c>
      <c r="B104" s="35" t="s">
        <v>123</v>
      </c>
      <c r="C104" s="159" t="s">
        <v>8</v>
      </c>
      <c r="D104" s="160">
        <v>5620000000</v>
      </c>
      <c r="E104" s="160"/>
      <c r="F104" s="163"/>
      <c r="G104" s="36"/>
      <c r="H104" s="100">
        <f aca="true" t="shared" si="31" ref="H104:T104">H105</f>
        <v>100000</v>
      </c>
      <c r="I104" s="52">
        <f t="shared" si="31"/>
        <v>0</v>
      </c>
      <c r="J104" s="52">
        <f t="shared" si="31"/>
        <v>54410</v>
      </c>
      <c r="K104" s="52">
        <f t="shared" si="31"/>
        <v>8500</v>
      </c>
      <c r="L104" s="52">
        <f t="shared" si="31"/>
        <v>8500</v>
      </c>
      <c r="M104" s="52">
        <f t="shared" si="31"/>
        <v>8500</v>
      </c>
      <c r="N104" s="52">
        <f t="shared" si="31"/>
        <v>0</v>
      </c>
      <c r="O104" s="52">
        <f t="shared" si="31"/>
        <v>0</v>
      </c>
      <c r="P104" s="52">
        <f t="shared" si="31"/>
        <v>0</v>
      </c>
      <c r="Q104" s="52">
        <f t="shared" si="31"/>
        <v>0</v>
      </c>
      <c r="R104" s="52">
        <f t="shared" si="31"/>
        <v>8000</v>
      </c>
      <c r="S104" s="52">
        <f t="shared" si="31"/>
        <v>5090</v>
      </c>
      <c r="T104" s="52">
        <f t="shared" si="31"/>
        <v>7000</v>
      </c>
      <c r="U104" s="24">
        <f t="shared" si="30"/>
        <v>100000</v>
      </c>
      <c r="V104" s="21">
        <f t="shared" si="26"/>
        <v>100000</v>
      </c>
    </row>
    <row r="105" spans="1:22" ht="25.5" customHeight="1">
      <c r="A105" s="104" t="s">
        <v>42</v>
      </c>
      <c r="B105" s="105" t="s">
        <v>15</v>
      </c>
      <c r="C105" s="165" t="s">
        <v>8</v>
      </c>
      <c r="D105" s="165">
        <v>5620110070</v>
      </c>
      <c r="E105" s="165">
        <v>244</v>
      </c>
      <c r="F105" s="165">
        <v>226</v>
      </c>
      <c r="G105" s="165"/>
      <c r="H105" s="15">
        <v>100000</v>
      </c>
      <c r="I105" s="12">
        <v>0</v>
      </c>
      <c r="J105" s="12">
        <f>0+54410</f>
        <v>54410</v>
      </c>
      <c r="K105" s="12">
        <v>8500</v>
      </c>
      <c r="L105" s="12">
        <v>8500</v>
      </c>
      <c r="M105" s="12">
        <v>8500</v>
      </c>
      <c r="N105" s="12">
        <v>0</v>
      </c>
      <c r="O105" s="12">
        <v>0</v>
      </c>
      <c r="P105" s="12">
        <v>0</v>
      </c>
      <c r="Q105" s="12">
        <v>0</v>
      </c>
      <c r="R105" s="12">
        <f>17000-9000</f>
        <v>8000</v>
      </c>
      <c r="S105" s="12">
        <f>25500-20410</f>
        <v>5090</v>
      </c>
      <c r="T105" s="12">
        <f>32000-25000</f>
        <v>7000</v>
      </c>
      <c r="U105" s="24">
        <f t="shared" si="30"/>
        <v>100000</v>
      </c>
      <c r="V105" s="21">
        <f t="shared" si="26"/>
        <v>100000</v>
      </c>
    </row>
    <row r="106" spans="1:22" ht="15" customHeight="1">
      <c r="A106" s="42"/>
      <c r="B106" s="43"/>
      <c r="C106" s="122"/>
      <c r="D106" s="123"/>
      <c r="E106" s="127"/>
      <c r="F106" s="125"/>
      <c r="G106" s="46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4">
        <f t="shared" si="30"/>
        <v>0</v>
      </c>
      <c r="V106" s="21">
        <f t="shared" si="26"/>
        <v>0</v>
      </c>
    </row>
    <row r="107" spans="1:22" ht="98.25" customHeight="1">
      <c r="A107" s="26" t="s">
        <v>42</v>
      </c>
      <c r="B107" s="35" t="s">
        <v>124</v>
      </c>
      <c r="C107" s="148" t="s">
        <v>8</v>
      </c>
      <c r="D107" s="161">
        <v>5700000000</v>
      </c>
      <c r="E107" s="160"/>
      <c r="F107" s="163"/>
      <c r="G107" s="41"/>
      <c r="H107" s="107">
        <f aca="true" t="shared" si="32" ref="H107:T107">H108</f>
        <v>60000</v>
      </c>
      <c r="I107" s="39">
        <f t="shared" si="32"/>
        <v>0</v>
      </c>
      <c r="J107" s="39">
        <f t="shared" si="32"/>
        <v>0</v>
      </c>
      <c r="K107" s="39">
        <f t="shared" si="32"/>
        <v>0</v>
      </c>
      <c r="L107" s="39">
        <f t="shared" si="32"/>
        <v>0</v>
      </c>
      <c r="M107" s="39">
        <f t="shared" si="32"/>
        <v>16000</v>
      </c>
      <c r="N107" s="39">
        <f t="shared" si="32"/>
        <v>0</v>
      </c>
      <c r="O107" s="39">
        <f t="shared" si="32"/>
        <v>0</v>
      </c>
      <c r="P107" s="39">
        <f t="shared" si="32"/>
        <v>0</v>
      </c>
      <c r="Q107" s="39">
        <f t="shared" si="32"/>
        <v>0</v>
      </c>
      <c r="R107" s="39">
        <f t="shared" si="32"/>
        <v>0</v>
      </c>
      <c r="S107" s="39">
        <f t="shared" si="32"/>
        <v>10000</v>
      </c>
      <c r="T107" s="39">
        <f t="shared" si="32"/>
        <v>34000</v>
      </c>
      <c r="U107" s="24">
        <f t="shared" si="30"/>
        <v>60000</v>
      </c>
      <c r="V107" s="21">
        <f t="shared" si="26"/>
        <v>60000</v>
      </c>
    </row>
    <row r="108" spans="1:22" ht="21" customHeight="1">
      <c r="A108" s="104" t="s">
        <v>42</v>
      </c>
      <c r="B108" s="105" t="s">
        <v>16</v>
      </c>
      <c r="C108" s="165" t="s">
        <v>8</v>
      </c>
      <c r="D108" s="165">
        <v>5710110930</v>
      </c>
      <c r="E108" s="165">
        <v>244</v>
      </c>
      <c r="F108" s="165">
        <v>290</v>
      </c>
      <c r="G108" s="106"/>
      <c r="H108" s="15">
        <v>60000</v>
      </c>
      <c r="I108" s="12">
        <v>0</v>
      </c>
      <c r="J108" s="12">
        <v>0</v>
      </c>
      <c r="K108" s="12">
        <v>0</v>
      </c>
      <c r="L108" s="12">
        <v>0</v>
      </c>
      <c r="M108" s="12">
        <v>16000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10000</v>
      </c>
      <c r="T108" s="12">
        <v>34000</v>
      </c>
      <c r="U108" s="24">
        <f t="shared" si="30"/>
        <v>60000</v>
      </c>
      <c r="V108" s="21">
        <f t="shared" si="26"/>
        <v>60000</v>
      </c>
    </row>
    <row r="109" spans="1:22" ht="15" customHeight="1">
      <c r="A109" s="42"/>
      <c r="B109" s="43"/>
      <c r="C109" s="122"/>
      <c r="D109" s="123"/>
      <c r="E109" s="127"/>
      <c r="F109" s="125"/>
      <c r="G109" s="46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24">
        <f t="shared" si="30"/>
        <v>0</v>
      </c>
      <c r="V109" s="21">
        <f t="shared" si="26"/>
        <v>0</v>
      </c>
    </row>
    <row r="110" spans="1:22" ht="96" customHeight="1">
      <c r="A110" s="26" t="s">
        <v>42</v>
      </c>
      <c r="B110" s="35" t="s">
        <v>125</v>
      </c>
      <c r="C110" s="148" t="s">
        <v>8</v>
      </c>
      <c r="D110" s="161">
        <v>8400000000</v>
      </c>
      <c r="E110" s="160"/>
      <c r="F110" s="163"/>
      <c r="G110" s="36"/>
      <c r="H110" s="107">
        <f aca="true" t="shared" si="33" ref="H110:T110">H111</f>
        <v>10000</v>
      </c>
      <c r="I110" s="39">
        <f t="shared" si="33"/>
        <v>0</v>
      </c>
      <c r="J110" s="39">
        <f t="shared" si="33"/>
        <v>0</v>
      </c>
      <c r="K110" s="39">
        <f t="shared" si="33"/>
        <v>0</v>
      </c>
      <c r="L110" s="39">
        <f t="shared" si="33"/>
        <v>0</v>
      </c>
      <c r="M110" s="39">
        <f t="shared" si="33"/>
        <v>0</v>
      </c>
      <c r="N110" s="39">
        <f t="shared" si="33"/>
        <v>0</v>
      </c>
      <c r="O110" s="39">
        <f t="shared" si="33"/>
        <v>0</v>
      </c>
      <c r="P110" s="39">
        <f t="shared" si="33"/>
        <v>0</v>
      </c>
      <c r="Q110" s="39">
        <f t="shared" si="33"/>
        <v>0</v>
      </c>
      <c r="R110" s="39">
        <f t="shared" si="33"/>
        <v>5000</v>
      </c>
      <c r="S110" s="39">
        <f t="shared" si="33"/>
        <v>5000</v>
      </c>
      <c r="T110" s="39">
        <f t="shared" si="33"/>
        <v>0</v>
      </c>
      <c r="U110" s="24">
        <f t="shared" si="30"/>
        <v>10000</v>
      </c>
      <c r="V110" s="21">
        <f t="shared" si="26"/>
        <v>10000</v>
      </c>
    </row>
    <row r="111" spans="1:22" ht="15" customHeight="1">
      <c r="A111" s="5" t="s">
        <v>42</v>
      </c>
      <c r="B111" s="47" t="s">
        <v>16</v>
      </c>
      <c r="C111" s="164" t="s">
        <v>8</v>
      </c>
      <c r="D111" s="162">
        <v>8410110290</v>
      </c>
      <c r="E111" s="162">
        <v>244</v>
      </c>
      <c r="F111" s="201">
        <v>290</v>
      </c>
      <c r="G111" s="45"/>
      <c r="H111" s="15">
        <v>10000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5000</v>
      </c>
      <c r="S111" s="12">
        <v>5000</v>
      </c>
      <c r="T111" s="12">
        <v>0</v>
      </c>
      <c r="U111" s="24">
        <f t="shared" si="30"/>
        <v>10000</v>
      </c>
      <c r="V111" s="21">
        <f t="shared" si="26"/>
        <v>10000</v>
      </c>
    </row>
    <row r="112" spans="1:22" ht="12.75">
      <c r="A112" s="5"/>
      <c r="B112" s="47"/>
      <c r="C112" s="128"/>
      <c r="D112" s="127"/>
      <c r="E112" s="127"/>
      <c r="F112" s="130"/>
      <c r="G112" s="46"/>
      <c r="H112" s="1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24"/>
      <c r="V112" s="21">
        <f t="shared" si="26"/>
        <v>0</v>
      </c>
    </row>
    <row r="113" spans="1:22" ht="12.75">
      <c r="A113" s="5"/>
      <c r="B113" s="29" t="s">
        <v>53</v>
      </c>
      <c r="C113" s="149" t="s">
        <v>8</v>
      </c>
      <c r="D113" s="127"/>
      <c r="E113" s="127"/>
      <c r="F113" s="130"/>
      <c r="G113" s="46"/>
      <c r="H113" s="20">
        <f>H110+H107+H96+H68+H40+H37</f>
        <v>12450829.17</v>
      </c>
      <c r="I113" s="19">
        <f>I110+I107+I96+I68+I40</f>
        <v>617141.02</v>
      </c>
      <c r="J113" s="19">
        <f>J110+J107+J96+J68+J40</f>
        <v>875283.94</v>
      </c>
      <c r="K113" s="19">
        <f>K110+K107+K96+K68+K40+K37</f>
        <v>838650</v>
      </c>
      <c r="L113" s="19">
        <f aca="true" t="shared" si="34" ref="L113:T113">L110+L107+L96+L68+L40</f>
        <v>999167</v>
      </c>
      <c r="M113" s="19">
        <f t="shared" si="34"/>
        <v>831000</v>
      </c>
      <c r="N113" s="19">
        <f t="shared" si="34"/>
        <v>749800</v>
      </c>
      <c r="O113" s="19">
        <f t="shared" si="34"/>
        <v>829150</v>
      </c>
      <c r="P113" s="19">
        <f t="shared" si="34"/>
        <v>1085600</v>
      </c>
      <c r="Q113" s="19">
        <f t="shared" si="34"/>
        <v>902200</v>
      </c>
      <c r="R113" s="19">
        <f t="shared" si="34"/>
        <v>1485823.73</v>
      </c>
      <c r="S113" s="19">
        <f t="shared" si="34"/>
        <v>1589436.48</v>
      </c>
      <c r="T113" s="19">
        <f t="shared" si="34"/>
        <v>1602127</v>
      </c>
      <c r="U113" s="24">
        <f>I113+J113+K113+L113+M113+N113+O113+P113+Q113+R113+S113+T113</f>
        <v>12405379.17</v>
      </c>
      <c r="V113" s="21">
        <f>V39+V40+V68+V96+V107+V110</f>
        <v>12450829.17</v>
      </c>
    </row>
    <row r="114" spans="1:22" ht="55.5" customHeight="1">
      <c r="A114" s="53"/>
      <c r="B114" s="54" t="s">
        <v>64</v>
      </c>
      <c r="C114" s="131"/>
      <c r="D114" s="131"/>
      <c r="E114" s="131"/>
      <c r="F114" s="131"/>
      <c r="G114" s="55"/>
      <c r="H114" s="56">
        <f aca="true" t="shared" si="35" ref="H114:M114">H113+H36+H30+H27+H9+H33</f>
        <v>21876802.17</v>
      </c>
      <c r="I114" s="56">
        <f t="shared" si="35"/>
        <v>971966.02</v>
      </c>
      <c r="J114" s="56">
        <f t="shared" si="35"/>
        <v>1586754.94</v>
      </c>
      <c r="K114" s="56">
        <f t="shared" si="35"/>
        <v>1247604</v>
      </c>
      <c r="L114" s="56">
        <f t="shared" si="35"/>
        <v>1517592</v>
      </c>
      <c r="M114" s="56">
        <f t="shared" si="35"/>
        <v>1378325</v>
      </c>
      <c r="N114" s="56">
        <f>N113+N36+N30+N27+N9+N33+N37</f>
        <v>1283175</v>
      </c>
      <c r="O114" s="56">
        <f>O113+O36+O30+O27+O9+O33</f>
        <v>1350475</v>
      </c>
      <c r="P114" s="56">
        <f>P113+P36+P30+P27+P9+P33</f>
        <v>1833825</v>
      </c>
      <c r="Q114" s="56">
        <f>Q113+Q36+Q30+Q27+Q9+Q33+Q39</f>
        <v>1434675</v>
      </c>
      <c r="R114" s="56">
        <f>R113+R36+R30+R27+R9+R33</f>
        <v>2394748.73</v>
      </c>
      <c r="S114" s="56">
        <f>S113+S36+S30+S27+S9+S33</f>
        <v>2499711.48</v>
      </c>
      <c r="T114" s="56">
        <f>T113+T36+T30+T27+T9+T33+T37</f>
        <v>4371950</v>
      </c>
      <c r="U114" s="24">
        <f>I114+J114+K114+L114+M114+N114+O114+P114+Q114+R114+S114+T114</f>
        <v>21870802.17</v>
      </c>
      <c r="V114" s="199">
        <f>V113+V9+V27+V29+V33+V36</f>
        <v>21876802.17</v>
      </c>
    </row>
    <row r="115" spans="1:22" ht="12.75">
      <c r="A115" s="42"/>
      <c r="B115" s="57"/>
      <c r="C115" s="132"/>
      <c r="D115" s="132"/>
      <c r="E115" s="132"/>
      <c r="F115" s="132"/>
      <c r="G115" s="57"/>
      <c r="V115" s="21">
        <f aca="true" t="shared" si="36" ref="V115:V143">SUM(I115:T115)</f>
        <v>0</v>
      </c>
    </row>
    <row r="116" spans="1:22" ht="51.75" customHeight="1">
      <c r="A116" s="5" t="s">
        <v>42</v>
      </c>
      <c r="B116" s="59" t="s">
        <v>65</v>
      </c>
      <c r="C116" s="176" t="s">
        <v>20</v>
      </c>
      <c r="D116" s="60">
        <v>9800000000</v>
      </c>
      <c r="E116" s="123"/>
      <c r="F116" s="123"/>
      <c r="G116" s="60"/>
      <c r="H116" s="38">
        <f aca="true" t="shared" si="37" ref="H116:T116">H117+H118</f>
        <v>443500</v>
      </c>
      <c r="I116" s="38">
        <f t="shared" si="37"/>
        <v>36875</v>
      </c>
      <c r="J116" s="38">
        <f t="shared" si="37"/>
        <v>36875</v>
      </c>
      <c r="K116" s="38">
        <f t="shared" si="37"/>
        <v>36875</v>
      </c>
      <c r="L116" s="38">
        <f t="shared" si="37"/>
        <v>36875</v>
      </c>
      <c r="M116" s="38">
        <f t="shared" si="37"/>
        <v>36875</v>
      </c>
      <c r="N116" s="38">
        <f t="shared" si="37"/>
        <v>36875</v>
      </c>
      <c r="O116" s="38">
        <f t="shared" si="37"/>
        <v>36875</v>
      </c>
      <c r="P116" s="38">
        <f t="shared" si="37"/>
        <v>36875</v>
      </c>
      <c r="Q116" s="38">
        <f t="shared" si="37"/>
        <v>36875</v>
      </c>
      <c r="R116" s="38">
        <f t="shared" si="37"/>
        <v>36875</v>
      </c>
      <c r="S116" s="38">
        <f t="shared" si="37"/>
        <v>36875</v>
      </c>
      <c r="T116" s="38">
        <f t="shared" si="37"/>
        <v>36875</v>
      </c>
      <c r="U116" s="24">
        <f aca="true" t="shared" si="38" ref="U116:U122">I116+J116+K116+L116+M116+N116+O116+P116+Q116+R116+S116+T116</f>
        <v>442500</v>
      </c>
      <c r="V116" s="21">
        <f t="shared" si="36"/>
        <v>442500</v>
      </c>
    </row>
    <row r="117" spans="1:22" ht="38.25">
      <c r="A117" s="5" t="s">
        <v>42</v>
      </c>
      <c r="B117" s="61" t="s">
        <v>66</v>
      </c>
      <c r="C117" s="174" t="s">
        <v>20</v>
      </c>
      <c r="D117" s="174">
        <v>9800051180</v>
      </c>
      <c r="E117" s="175">
        <v>121</v>
      </c>
      <c r="F117" s="174">
        <v>211</v>
      </c>
      <c r="G117" s="63" t="s">
        <v>67</v>
      </c>
      <c r="H117" s="13">
        <f>311400+29230</f>
        <v>340630</v>
      </c>
      <c r="I117" s="18">
        <f aca="true" t="shared" si="39" ref="I117:T117">25900+2435.83</f>
        <v>28335.83</v>
      </c>
      <c r="J117" s="18">
        <f t="shared" si="39"/>
        <v>28335.83</v>
      </c>
      <c r="K117" s="18">
        <f t="shared" si="39"/>
        <v>28335.83</v>
      </c>
      <c r="L117" s="18">
        <f t="shared" si="39"/>
        <v>28335.83</v>
      </c>
      <c r="M117" s="18">
        <f t="shared" si="39"/>
        <v>28335.83</v>
      </c>
      <c r="N117" s="18">
        <f t="shared" si="39"/>
        <v>28335.83</v>
      </c>
      <c r="O117" s="18">
        <f t="shared" si="39"/>
        <v>28335.83</v>
      </c>
      <c r="P117" s="18">
        <f t="shared" si="39"/>
        <v>28335.83</v>
      </c>
      <c r="Q117" s="18">
        <f t="shared" si="39"/>
        <v>28335.83</v>
      </c>
      <c r="R117" s="18">
        <f t="shared" si="39"/>
        <v>28335.83</v>
      </c>
      <c r="S117" s="18">
        <f t="shared" si="39"/>
        <v>28335.83</v>
      </c>
      <c r="T117" s="18">
        <f t="shared" si="39"/>
        <v>28335.83</v>
      </c>
      <c r="U117" s="24">
        <f t="shared" si="38"/>
        <v>340029.96000000014</v>
      </c>
      <c r="V117" s="21">
        <f t="shared" si="36"/>
        <v>340029.96000000014</v>
      </c>
    </row>
    <row r="118" spans="1:22" ht="38.25">
      <c r="A118" s="5" t="s">
        <v>42</v>
      </c>
      <c r="B118" s="61" t="s">
        <v>66</v>
      </c>
      <c r="C118" s="174" t="s">
        <v>20</v>
      </c>
      <c r="D118" s="174">
        <v>9800051180</v>
      </c>
      <c r="E118" s="175">
        <v>129</v>
      </c>
      <c r="F118" s="174">
        <v>211</v>
      </c>
      <c r="G118" s="64" t="s">
        <v>68</v>
      </c>
      <c r="H118" s="13">
        <f>94000+8870</f>
        <v>102870</v>
      </c>
      <c r="I118" s="18">
        <f aca="true" t="shared" si="40" ref="I118:T118">7800+739.17</f>
        <v>8539.17</v>
      </c>
      <c r="J118" s="18">
        <f t="shared" si="40"/>
        <v>8539.17</v>
      </c>
      <c r="K118" s="18">
        <f t="shared" si="40"/>
        <v>8539.17</v>
      </c>
      <c r="L118" s="18">
        <f t="shared" si="40"/>
        <v>8539.17</v>
      </c>
      <c r="M118" s="18">
        <f t="shared" si="40"/>
        <v>8539.17</v>
      </c>
      <c r="N118" s="18">
        <f t="shared" si="40"/>
        <v>8539.17</v>
      </c>
      <c r="O118" s="18">
        <f t="shared" si="40"/>
        <v>8539.17</v>
      </c>
      <c r="P118" s="18">
        <f t="shared" si="40"/>
        <v>8539.17</v>
      </c>
      <c r="Q118" s="18">
        <f t="shared" si="40"/>
        <v>8539.17</v>
      </c>
      <c r="R118" s="18">
        <f t="shared" si="40"/>
        <v>8539.17</v>
      </c>
      <c r="S118" s="18">
        <f t="shared" si="40"/>
        <v>8539.17</v>
      </c>
      <c r="T118" s="18">
        <f t="shared" si="40"/>
        <v>8539.17</v>
      </c>
      <c r="U118" s="24">
        <f t="shared" si="38"/>
        <v>102470.04</v>
      </c>
      <c r="V118" s="21">
        <f t="shared" si="36"/>
        <v>102470.04</v>
      </c>
    </row>
    <row r="119" spans="1:22" ht="12.75">
      <c r="A119" s="42"/>
      <c r="B119" s="58"/>
      <c r="C119" s="133"/>
      <c r="D119" s="133"/>
      <c r="E119" s="133"/>
      <c r="F119" s="133"/>
      <c r="G119" s="62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24">
        <f t="shared" si="38"/>
        <v>0</v>
      </c>
      <c r="V119" s="21">
        <f t="shared" si="36"/>
        <v>0</v>
      </c>
    </row>
    <row r="120" spans="1:22" ht="12.75">
      <c r="A120" s="42"/>
      <c r="B120" s="29" t="s">
        <v>53</v>
      </c>
      <c r="C120" s="149" t="s">
        <v>20</v>
      </c>
      <c r="D120" s="133"/>
      <c r="E120" s="133"/>
      <c r="F120" s="133"/>
      <c r="G120" s="62"/>
      <c r="H120" s="20">
        <f aca="true" t="shared" si="41" ref="H120:S120">H116</f>
        <v>443500</v>
      </c>
      <c r="I120" s="20">
        <f t="shared" si="41"/>
        <v>36875</v>
      </c>
      <c r="J120" s="20">
        <f t="shared" si="41"/>
        <v>36875</v>
      </c>
      <c r="K120" s="20">
        <f t="shared" si="41"/>
        <v>36875</v>
      </c>
      <c r="L120" s="20">
        <f t="shared" si="41"/>
        <v>36875</v>
      </c>
      <c r="M120" s="20">
        <f t="shared" si="41"/>
        <v>36875</v>
      </c>
      <c r="N120" s="20">
        <f t="shared" si="41"/>
        <v>36875</v>
      </c>
      <c r="O120" s="20">
        <f t="shared" si="41"/>
        <v>36875</v>
      </c>
      <c r="P120" s="20">
        <f t="shared" si="41"/>
        <v>36875</v>
      </c>
      <c r="Q120" s="20">
        <f t="shared" si="41"/>
        <v>36875</v>
      </c>
      <c r="R120" s="20">
        <f t="shared" si="41"/>
        <v>36875</v>
      </c>
      <c r="S120" s="20">
        <f t="shared" si="41"/>
        <v>36875</v>
      </c>
      <c r="T120" s="20">
        <f>T122</f>
        <v>37875</v>
      </c>
      <c r="U120" s="24">
        <f t="shared" si="38"/>
        <v>443500</v>
      </c>
      <c r="V120" s="199">
        <f t="shared" si="36"/>
        <v>443500</v>
      </c>
    </row>
    <row r="121" spans="1:22" ht="12.75">
      <c r="A121" s="42"/>
      <c r="B121" s="58"/>
      <c r="C121" s="133"/>
      <c r="D121" s="133"/>
      <c r="E121" s="133"/>
      <c r="F121" s="133"/>
      <c r="G121" s="62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24">
        <f t="shared" si="38"/>
        <v>0</v>
      </c>
      <c r="V121" s="21">
        <f t="shared" si="36"/>
        <v>0</v>
      </c>
    </row>
    <row r="122" spans="1:22" ht="12.75">
      <c r="A122" s="53"/>
      <c r="B122" s="54" t="s">
        <v>69</v>
      </c>
      <c r="C122" s="135"/>
      <c r="D122" s="135"/>
      <c r="E122" s="135"/>
      <c r="F122" s="135"/>
      <c r="G122" s="65"/>
      <c r="H122" s="70">
        <f aca="true" t="shared" si="42" ref="H122:S122">H120</f>
        <v>443500</v>
      </c>
      <c r="I122" s="70">
        <f t="shared" si="42"/>
        <v>36875</v>
      </c>
      <c r="J122" s="70">
        <f t="shared" si="42"/>
        <v>36875</v>
      </c>
      <c r="K122" s="70">
        <f t="shared" si="42"/>
        <v>36875</v>
      </c>
      <c r="L122" s="70">
        <f t="shared" si="42"/>
        <v>36875</v>
      </c>
      <c r="M122" s="70">
        <f t="shared" si="42"/>
        <v>36875</v>
      </c>
      <c r="N122" s="70">
        <f t="shared" si="42"/>
        <v>36875</v>
      </c>
      <c r="O122" s="70">
        <f t="shared" si="42"/>
        <v>36875</v>
      </c>
      <c r="P122" s="70">
        <f t="shared" si="42"/>
        <v>36875</v>
      </c>
      <c r="Q122" s="70">
        <f t="shared" si="42"/>
        <v>36875</v>
      </c>
      <c r="R122" s="70">
        <f t="shared" si="42"/>
        <v>36875</v>
      </c>
      <c r="S122" s="70">
        <f t="shared" si="42"/>
        <v>36875</v>
      </c>
      <c r="T122" s="70">
        <v>37875</v>
      </c>
      <c r="U122" s="24">
        <f t="shared" si="38"/>
        <v>443500</v>
      </c>
      <c r="V122" s="21">
        <f t="shared" si="36"/>
        <v>443500</v>
      </c>
    </row>
    <row r="123" spans="1:22" ht="12.75">
      <c r="A123" s="42"/>
      <c r="B123" s="66"/>
      <c r="C123" s="133"/>
      <c r="D123" s="133"/>
      <c r="E123" s="133"/>
      <c r="F123" s="133"/>
      <c r="G123" s="62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24"/>
      <c r="V123" s="21">
        <f t="shared" si="36"/>
        <v>0</v>
      </c>
    </row>
    <row r="124" spans="1:22" ht="79.5" customHeight="1">
      <c r="A124" s="5" t="s">
        <v>42</v>
      </c>
      <c r="B124" s="35" t="s">
        <v>126</v>
      </c>
      <c r="C124" s="148"/>
      <c r="D124" s="161">
        <v>5900000000</v>
      </c>
      <c r="E124" s="117"/>
      <c r="F124" s="117"/>
      <c r="G124" s="37"/>
      <c r="H124" s="39">
        <f aca="true" t="shared" si="43" ref="H124:T124">H126+H131+H134</f>
        <v>329500</v>
      </c>
      <c r="I124" s="39">
        <f t="shared" si="43"/>
        <v>0</v>
      </c>
      <c r="J124" s="39">
        <f t="shared" si="43"/>
        <v>19770</v>
      </c>
      <c r="K124" s="39">
        <f t="shared" si="43"/>
        <v>0</v>
      </c>
      <c r="L124" s="39">
        <f t="shared" si="43"/>
        <v>54250</v>
      </c>
      <c r="M124" s="39">
        <f t="shared" si="43"/>
        <v>0</v>
      </c>
      <c r="N124" s="39">
        <f t="shared" si="43"/>
        <v>0</v>
      </c>
      <c r="O124" s="39">
        <f t="shared" si="43"/>
        <v>54250</v>
      </c>
      <c r="P124" s="39">
        <f t="shared" si="43"/>
        <v>0</v>
      </c>
      <c r="Q124" s="39">
        <f t="shared" si="43"/>
        <v>0</v>
      </c>
      <c r="R124" s="39">
        <f t="shared" si="43"/>
        <v>95250</v>
      </c>
      <c r="S124" s="39">
        <f t="shared" si="43"/>
        <v>32730</v>
      </c>
      <c r="T124" s="39">
        <f t="shared" si="43"/>
        <v>73250</v>
      </c>
      <c r="U124" s="24">
        <f>I124+J124+K124+L124+M124+N124+O124+P124+Q124+R124+S124+T124</f>
        <v>329500</v>
      </c>
      <c r="V124" s="21">
        <f t="shared" si="36"/>
        <v>329500</v>
      </c>
    </row>
    <row r="125" spans="1:22" ht="12.75">
      <c r="A125" s="42"/>
      <c r="B125" s="66"/>
      <c r="C125" s="129"/>
      <c r="D125" s="133"/>
      <c r="E125" s="133"/>
      <c r="F125" s="133"/>
      <c r="G125" s="62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24"/>
      <c r="V125" s="21">
        <f t="shared" si="36"/>
        <v>0</v>
      </c>
    </row>
    <row r="126" spans="1:22" ht="76.5">
      <c r="A126" s="5" t="s">
        <v>42</v>
      </c>
      <c r="B126" s="35" t="s">
        <v>127</v>
      </c>
      <c r="C126" s="148" t="s">
        <v>21</v>
      </c>
      <c r="D126" s="161">
        <v>5910000000</v>
      </c>
      <c r="E126" s="161"/>
      <c r="F126" s="161"/>
      <c r="G126" s="37"/>
      <c r="H126" s="39">
        <f aca="true" t="shared" si="44" ref="H126:T126">H127</f>
        <v>20000</v>
      </c>
      <c r="I126" s="39">
        <f t="shared" si="44"/>
        <v>0</v>
      </c>
      <c r="J126" s="39">
        <f t="shared" si="44"/>
        <v>19770</v>
      </c>
      <c r="K126" s="39">
        <f t="shared" si="44"/>
        <v>0</v>
      </c>
      <c r="L126" s="39">
        <f t="shared" si="44"/>
        <v>0</v>
      </c>
      <c r="M126" s="39">
        <f t="shared" si="44"/>
        <v>0</v>
      </c>
      <c r="N126" s="39">
        <f t="shared" si="44"/>
        <v>0</v>
      </c>
      <c r="O126" s="39">
        <f t="shared" si="44"/>
        <v>0</v>
      </c>
      <c r="P126" s="39">
        <f t="shared" si="44"/>
        <v>0</v>
      </c>
      <c r="Q126" s="39">
        <f t="shared" si="44"/>
        <v>0</v>
      </c>
      <c r="R126" s="39">
        <f t="shared" si="44"/>
        <v>0</v>
      </c>
      <c r="S126" s="39">
        <f t="shared" si="44"/>
        <v>230</v>
      </c>
      <c r="T126" s="39">
        <f t="shared" si="44"/>
        <v>0</v>
      </c>
      <c r="U126" s="24">
        <f>I126+J126+K126+L126+M126+N126+O126+P126+Q126+R126+S126+T126</f>
        <v>20000</v>
      </c>
      <c r="V126" s="21">
        <f t="shared" si="36"/>
        <v>20000</v>
      </c>
    </row>
    <row r="127" spans="1:22" ht="12.75">
      <c r="A127" s="5" t="s">
        <v>42</v>
      </c>
      <c r="B127" s="47" t="s">
        <v>15</v>
      </c>
      <c r="C127" s="174" t="s">
        <v>21</v>
      </c>
      <c r="D127" s="174">
        <v>5910110080</v>
      </c>
      <c r="E127" s="175">
        <v>244</v>
      </c>
      <c r="F127" s="174">
        <v>226</v>
      </c>
      <c r="G127" s="62"/>
      <c r="H127" s="18">
        <v>20000</v>
      </c>
      <c r="I127" s="18">
        <v>0</v>
      </c>
      <c r="J127" s="18">
        <f>0+19770</f>
        <v>19770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f>20000-19770</f>
        <v>230</v>
      </c>
      <c r="T127" s="18">
        <v>0</v>
      </c>
      <c r="U127" s="24">
        <f>I127+J127+K127+L127+M127+N127+O127+P127+Q127+R127+S127+T127</f>
        <v>20000</v>
      </c>
      <c r="V127" s="21">
        <f t="shared" si="36"/>
        <v>20000</v>
      </c>
    </row>
    <row r="128" spans="1:22" ht="12.75">
      <c r="A128" s="42"/>
      <c r="B128" s="66"/>
      <c r="C128" s="133"/>
      <c r="D128" s="133"/>
      <c r="E128" s="133"/>
      <c r="F128" s="133"/>
      <c r="G128" s="62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24"/>
      <c r="V128" s="21">
        <f t="shared" si="36"/>
        <v>0</v>
      </c>
    </row>
    <row r="129" spans="1:22" ht="12.75">
      <c r="A129" s="42"/>
      <c r="B129" s="29" t="s">
        <v>53</v>
      </c>
      <c r="C129" s="149" t="s">
        <v>21</v>
      </c>
      <c r="D129" s="133"/>
      <c r="E129" s="133"/>
      <c r="F129" s="133"/>
      <c r="G129" s="62"/>
      <c r="H129" s="19">
        <f aca="true" t="shared" si="45" ref="H129:T129">H126</f>
        <v>20000</v>
      </c>
      <c r="I129" s="19">
        <f t="shared" si="45"/>
        <v>0</v>
      </c>
      <c r="J129" s="19">
        <f t="shared" si="45"/>
        <v>19770</v>
      </c>
      <c r="K129" s="19">
        <f t="shared" si="45"/>
        <v>0</v>
      </c>
      <c r="L129" s="19">
        <f t="shared" si="45"/>
        <v>0</v>
      </c>
      <c r="M129" s="19">
        <f t="shared" si="45"/>
        <v>0</v>
      </c>
      <c r="N129" s="19">
        <f t="shared" si="45"/>
        <v>0</v>
      </c>
      <c r="O129" s="19">
        <f t="shared" si="45"/>
        <v>0</v>
      </c>
      <c r="P129" s="19">
        <f t="shared" si="45"/>
        <v>0</v>
      </c>
      <c r="Q129" s="19">
        <f t="shared" si="45"/>
        <v>0</v>
      </c>
      <c r="R129" s="19">
        <f t="shared" si="45"/>
        <v>0</v>
      </c>
      <c r="S129" s="19">
        <f t="shared" si="45"/>
        <v>230</v>
      </c>
      <c r="T129" s="19">
        <f t="shared" si="45"/>
        <v>0</v>
      </c>
      <c r="U129" s="24">
        <f aca="true" t="shared" si="46" ref="U129:U142">I129+J129+K129+L129+M129+N129+O129+P129+Q129+R129+S129+T129</f>
        <v>20000</v>
      </c>
      <c r="V129" s="21">
        <f t="shared" si="36"/>
        <v>20000</v>
      </c>
    </row>
    <row r="130" spans="1:22" ht="12.75">
      <c r="A130" s="42"/>
      <c r="B130" s="66"/>
      <c r="C130" s="133"/>
      <c r="D130" s="133"/>
      <c r="E130" s="133"/>
      <c r="F130" s="133"/>
      <c r="G130" s="62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24">
        <f t="shared" si="46"/>
        <v>0</v>
      </c>
      <c r="V130" s="21">
        <f t="shared" si="36"/>
        <v>0</v>
      </c>
    </row>
    <row r="131" spans="1:22" ht="81" customHeight="1">
      <c r="A131" s="5" t="s">
        <v>42</v>
      </c>
      <c r="B131" s="35" t="s">
        <v>128</v>
      </c>
      <c r="C131" s="148" t="s">
        <v>22</v>
      </c>
      <c r="D131" s="161">
        <v>5920000000</v>
      </c>
      <c r="E131" s="161"/>
      <c r="F131" s="161"/>
      <c r="G131" s="161"/>
      <c r="H131" s="39">
        <f aca="true" t="shared" si="47" ref="H131:T131">H132</f>
        <v>112500</v>
      </c>
      <c r="I131" s="39">
        <f t="shared" si="47"/>
        <v>0</v>
      </c>
      <c r="J131" s="39">
        <f t="shared" si="47"/>
        <v>0</v>
      </c>
      <c r="K131" s="39">
        <f t="shared" si="47"/>
        <v>0</v>
      </c>
      <c r="L131" s="39">
        <f t="shared" si="47"/>
        <v>5000</v>
      </c>
      <c r="M131" s="39">
        <f t="shared" si="47"/>
        <v>0</v>
      </c>
      <c r="N131" s="39">
        <f t="shared" si="47"/>
        <v>0</v>
      </c>
      <c r="O131" s="39">
        <f t="shared" si="47"/>
        <v>5000</v>
      </c>
      <c r="P131" s="39">
        <f t="shared" si="47"/>
        <v>0</v>
      </c>
      <c r="Q131" s="39">
        <f t="shared" si="47"/>
        <v>0</v>
      </c>
      <c r="R131" s="39">
        <f t="shared" si="47"/>
        <v>46000</v>
      </c>
      <c r="S131" s="39">
        <f t="shared" si="47"/>
        <v>32500</v>
      </c>
      <c r="T131" s="39">
        <f t="shared" si="47"/>
        <v>24000</v>
      </c>
      <c r="U131" s="24">
        <f t="shared" si="46"/>
        <v>112500</v>
      </c>
      <c r="V131" s="21">
        <f t="shared" si="36"/>
        <v>112500</v>
      </c>
    </row>
    <row r="132" spans="1:22" ht="12.75">
      <c r="A132" s="5" t="s">
        <v>42</v>
      </c>
      <c r="B132" s="47" t="s">
        <v>15</v>
      </c>
      <c r="C132" s="165" t="s">
        <v>22</v>
      </c>
      <c r="D132" s="174">
        <v>5920110090</v>
      </c>
      <c r="E132" s="175">
        <v>244</v>
      </c>
      <c r="F132" s="174">
        <v>226</v>
      </c>
      <c r="G132" s="174"/>
      <c r="H132" s="18">
        <v>112500</v>
      </c>
      <c r="I132" s="18">
        <v>0</v>
      </c>
      <c r="J132" s="18">
        <v>0</v>
      </c>
      <c r="K132" s="18">
        <v>0</v>
      </c>
      <c r="L132" s="18">
        <v>5000</v>
      </c>
      <c r="M132" s="18">
        <v>0</v>
      </c>
      <c r="N132" s="18">
        <v>0</v>
      </c>
      <c r="O132" s="18">
        <v>5000</v>
      </c>
      <c r="P132" s="18">
        <v>0</v>
      </c>
      <c r="Q132" s="18">
        <v>0</v>
      </c>
      <c r="R132" s="18">
        <v>46000</v>
      </c>
      <c r="S132" s="18">
        <f>19500+13000</f>
        <v>32500</v>
      </c>
      <c r="T132" s="18">
        <v>24000</v>
      </c>
      <c r="U132" s="24">
        <f t="shared" si="46"/>
        <v>112500</v>
      </c>
      <c r="V132" s="21">
        <f t="shared" si="36"/>
        <v>112500</v>
      </c>
    </row>
    <row r="133" spans="1:22" ht="12.75">
      <c r="A133" s="42"/>
      <c r="B133" s="66"/>
      <c r="C133" s="129"/>
      <c r="D133" s="133"/>
      <c r="E133" s="133"/>
      <c r="F133" s="133"/>
      <c r="G133" s="62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24">
        <f t="shared" si="46"/>
        <v>0</v>
      </c>
      <c r="V133" s="21">
        <f t="shared" si="36"/>
        <v>0</v>
      </c>
    </row>
    <row r="134" spans="1:22" ht="92.25" customHeight="1">
      <c r="A134" s="5" t="s">
        <v>42</v>
      </c>
      <c r="B134" s="35" t="s">
        <v>129</v>
      </c>
      <c r="C134" s="148" t="s">
        <v>22</v>
      </c>
      <c r="D134" s="161">
        <v>5930000000</v>
      </c>
      <c r="E134" s="161"/>
      <c r="F134" s="161"/>
      <c r="G134" s="38"/>
      <c r="H134" s="39">
        <f aca="true" t="shared" si="48" ref="H134:T134">H135</f>
        <v>197000</v>
      </c>
      <c r="I134" s="39">
        <f t="shared" si="48"/>
        <v>0</v>
      </c>
      <c r="J134" s="39">
        <f t="shared" si="48"/>
        <v>0</v>
      </c>
      <c r="K134" s="39">
        <f t="shared" si="48"/>
        <v>0</v>
      </c>
      <c r="L134" s="39">
        <f t="shared" si="48"/>
        <v>49250</v>
      </c>
      <c r="M134" s="39">
        <f t="shared" si="48"/>
        <v>0</v>
      </c>
      <c r="N134" s="39">
        <f t="shared" si="48"/>
        <v>0</v>
      </c>
      <c r="O134" s="39">
        <f t="shared" si="48"/>
        <v>49250</v>
      </c>
      <c r="P134" s="39">
        <f t="shared" si="48"/>
        <v>0</v>
      </c>
      <c r="Q134" s="39">
        <f t="shared" si="48"/>
        <v>0</v>
      </c>
      <c r="R134" s="39">
        <f t="shared" si="48"/>
        <v>49250</v>
      </c>
      <c r="S134" s="39">
        <f t="shared" si="48"/>
        <v>0</v>
      </c>
      <c r="T134" s="39">
        <f t="shared" si="48"/>
        <v>49250</v>
      </c>
      <c r="U134" s="24">
        <f t="shared" si="46"/>
        <v>197000</v>
      </c>
      <c r="V134" s="21">
        <f t="shared" si="36"/>
        <v>197000</v>
      </c>
    </row>
    <row r="135" spans="1:22" ht="12.75">
      <c r="A135" s="5" t="s">
        <v>42</v>
      </c>
      <c r="B135" s="47" t="s">
        <v>16</v>
      </c>
      <c r="C135" s="174" t="s">
        <v>22</v>
      </c>
      <c r="D135" s="174">
        <v>5930110100</v>
      </c>
      <c r="E135" s="175">
        <v>244</v>
      </c>
      <c r="F135" s="174">
        <v>290</v>
      </c>
      <c r="G135" s="202"/>
      <c r="H135" s="18">
        <v>197000</v>
      </c>
      <c r="I135" s="18">
        <v>0</v>
      </c>
      <c r="J135" s="18">
        <v>0</v>
      </c>
      <c r="K135" s="18">
        <v>0</v>
      </c>
      <c r="L135" s="18">
        <v>49250</v>
      </c>
      <c r="M135" s="18">
        <v>0</v>
      </c>
      <c r="N135" s="18">
        <v>0</v>
      </c>
      <c r="O135" s="18">
        <v>49250</v>
      </c>
      <c r="P135" s="18">
        <v>0</v>
      </c>
      <c r="Q135" s="18">
        <v>0</v>
      </c>
      <c r="R135" s="18">
        <v>49250</v>
      </c>
      <c r="S135" s="18">
        <v>0</v>
      </c>
      <c r="T135" s="18">
        <v>49250</v>
      </c>
      <c r="U135" s="24">
        <f t="shared" si="46"/>
        <v>197000</v>
      </c>
      <c r="V135" s="21">
        <f t="shared" si="36"/>
        <v>197000</v>
      </c>
    </row>
    <row r="136" spans="1:22" ht="12.75">
      <c r="A136" s="5"/>
      <c r="B136" s="68"/>
      <c r="C136" s="133"/>
      <c r="D136" s="133"/>
      <c r="E136" s="134"/>
      <c r="F136" s="133"/>
      <c r="G136" s="6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24">
        <f t="shared" si="46"/>
        <v>0</v>
      </c>
      <c r="V136" s="21">
        <f t="shared" si="36"/>
        <v>0</v>
      </c>
    </row>
    <row r="137" spans="1:22" ht="63.75">
      <c r="A137" s="5" t="s">
        <v>42</v>
      </c>
      <c r="B137" s="35" t="s">
        <v>130</v>
      </c>
      <c r="C137" s="148" t="s">
        <v>22</v>
      </c>
      <c r="D137" s="161">
        <v>6010000000</v>
      </c>
      <c r="E137" s="161"/>
      <c r="F137" s="161"/>
      <c r="G137" s="37"/>
      <c r="H137" s="39">
        <f aca="true" t="shared" si="49" ref="H137:T137">H138</f>
        <v>15000</v>
      </c>
      <c r="I137" s="39">
        <f t="shared" si="49"/>
        <v>0</v>
      </c>
      <c r="J137" s="39">
        <f t="shared" si="49"/>
        <v>0</v>
      </c>
      <c r="K137" s="39">
        <f t="shared" si="49"/>
        <v>0</v>
      </c>
      <c r="L137" s="39">
        <f t="shared" si="49"/>
        <v>0</v>
      </c>
      <c r="M137" s="39">
        <f t="shared" si="49"/>
        <v>0</v>
      </c>
      <c r="N137" s="39">
        <f t="shared" si="49"/>
        <v>0</v>
      </c>
      <c r="O137" s="39">
        <f t="shared" si="49"/>
        <v>0</v>
      </c>
      <c r="P137" s="39">
        <f t="shared" si="49"/>
        <v>0</v>
      </c>
      <c r="Q137" s="39">
        <f t="shared" si="49"/>
        <v>0</v>
      </c>
      <c r="R137" s="39">
        <f t="shared" si="49"/>
        <v>0</v>
      </c>
      <c r="S137" s="39">
        <f t="shared" si="49"/>
        <v>0</v>
      </c>
      <c r="T137" s="39">
        <f t="shared" si="49"/>
        <v>15000</v>
      </c>
      <c r="U137" s="24">
        <f t="shared" si="46"/>
        <v>15000</v>
      </c>
      <c r="V137" s="21">
        <f t="shared" si="36"/>
        <v>15000</v>
      </c>
    </row>
    <row r="138" spans="1:22" ht="12.75">
      <c r="A138" s="5" t="s">
        <v>42</v>
      </c>
      <c r="B138" s="47" t="s">
        <v>15</v>
      </c>
      <c r="C138" s="165" t="s">
        <v>22</v>
      </c>
      <c r="D138" s="174">
        <v>6010110120</v>
      </c>
      <c r="E138" s="175">
        <v>244</v>
      </c>
      <c r="F138" s="174">
        <v>226</v>
      </c>
      <c r="G138" s="67"/>
      <c r="H138" s="18">
        <v>15000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15000</v>
      </c>
      <c r="U138" s="24">
        <f t="shared" si="46"/>
        <v>15000</v>
      </c>
      <c r="V138" s="21">
        <f t="shared" si="36"/>
        <v>15000</v>
      </c>
    </row>
    <row r="139" spans="1:22" ht="12.75">
      <c r="A139" s="5"/>
      <c r="B139" s="68"/>
      <c r="C139" s="165"/>
      <c r="D139" s="174"/>
      <c r="E139" s="175"/>
      <c r="F139" s="174"/>
      <c r="G139" s="6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24">
        <f t="shared" si="46"/>
        <v>0</v>
      </c>
      <c r="V139" s="21">
        <f t="shared" si="36"/>
        <v>0</v>
      </c>
    </row>
    <row r="140" spans="1:22" ht="12.75">
      <c r="A140" s="5"/>
      <c r="B140" s="29" t="s">
        <v>53</v>
      </c>
      <c r="C140" s="180" t="s">
        <v>22</v>
      </c>
      <c r="D140" s="174"/>
      <c r="E140" s="175"/>
      <c r="F140" s="174"/>
      <c r="G140" s="67"/>
      <c r="H140" s="19">
        <f aca="true" t="shared" si="50" ref="H140:T140">H137+H134+H131</f>
        <v>324500</v>
      </c>
      <c r="I140" s="19">
        <f t="shared" si="50"/>
        <v>0</v>
      </c>
      <c r="J140" s="19">
        <f t="shared" si="50"/>
        <v>0</v>
      </c>
      <c r="K140" s="19">
        <f t="shared" si="50"/>
        <v>0</v>
      </c>
      <c r="L140" s="19">
        <f t="shared" si="50"/>
        <v>54250</v>
      </c>
      <c r="M140" s="19">
        <f t="shared" si="50"/>
        <v>0</v>
      </c>
      <c r="N140" s="19">
        <f t="shared" si="50"/>
        <v>0</v>
      </c>
      <c r="O140" s="19">
        <f t="shared" si="50"/>
        <v>54250</v>
      </c>
      <c r="P140" s="19">
        <f t="shared" si="50"/>
        <v>0</v>
      </c>
      <c r="Q140" s="19">
        <f t="shared" si="50"/>
        <v>0</v>
      </c>
      <c r="R140" s="19">
        <f t="shared" si="50"/>
        <v>95250</v>
      </c>
      <c r="S140" s="19">
        <f t="shared" si="50"/>
        <v>32500</v>
      </c>
      <c r="T140" s="19">
        <f t="shared" si="50"/>
        <v>88250</v>
      </c>
      <c r="U140" s="24">
        <f t="shared" si="46"/>
        <v>324500</v>
      </c>
      <c r="V140" s="21">
        <f t="shared" si="36"/>
        <v>324500</v>
      </c>
    </row>
    <row r="141" spans="1:22" ht="12.75">
      <c r="A141" s="5"/>
      <c r="B141" s="68"/>
      <c r="C141" s="129"/>
      <c r="D141" s="133"/>
      <c r="E141" s="134"/>
      <c r="F141" s="133"/>
      <c r="G141" s="6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24">
        <f t="shared" si="46"/>
        <v>0</v>
      </c>
      <c r="V141" s="21">
        <f t="shared" si="36"/>
        <v>0</v>
      </c>
    </row>
    <row r="142" spans="1:22" ht="12.75">
      <c r="A142" s="53"/>
      <c r="B142" s="54" t="s">
        <v>70</v>
      </c>
      <c r="C142" s="137"/>
      <c r="D142" s="135"/>
      <c r="E142" s="138"/>
      <c r="F142" s="135"/>
      <c r="G142" s="69"/>
      <c r="H142" s="70">
        <f aca="true" t="shared" si="51" ref="H142:T142">H140+H129</f>
        <v>344500</v>
      </c>
      <c r="I142" s="70">
        <f t="shared" si="51"/>
        <v>0</v>
      </c>
      <c r="J142" s="70">
        <f t="shared" si="51"/>
        <v>19770</v>
      </c>
      <c r="K142" s="70">
        <f t="shared" si="51"/>
        <v>0</v>
      </c>
      <c r="L142" s="70">
        <f t="shared" si="51"/>
        <v>54250</v>
      </c>
      <c r="M142" s="70">
        <f t="shared" si="51"/>
        <v>0</v>
      </c>
      <c r="N142" s="70">
        <f t="shared" si="51"/>
        <v>0</v>
      </c>
      <c r="O142" s="70">
        <f t="shared" si="51"/>
        <v>54250</v>
      </c>
      <c r="P142" s="70">
        <f t="shared" si="51"/>
        <v>0</v>
      </c>
      <c r="Q142" s="70">
        <f t="shared" si="51"/>
        <v>0</v>
      </c>
      <c r="R142" s="70">
        <f t="shared" si="51"/>
        <v>95250</v>
      </c>
      <c r="S142" s="70">
        <f t="shared" si="51"/>
        <v>32730</v>
      </c>
      <c r="T142" s="70">
        <f t="shared" si="51"/>
        <v>88250</v>
      </c>
      <c r="U142" s="24">
        <f t="shared" si="46"/>
        <v>344500</v>
      </c>
      <c r="V142" s="199">
        <f t="shared" si="36"/>
        <v>344500</v>
      </c>
    </row>
    <row r="143" spans="1:22" ht="12.75">
      <c r="A143" s="5"/>
      <c r="B143" s="68"/>
      <c r="C143" s="129"/>
      <c r="D143" s="133"/>
      <c r="E143" s="134"/>
      <c r="F143" s="133"/>
      <c r="G143" s="6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24"/>
      <c r="V143" s="21">
        <f t="shared" si="36"/>
        <v>0</v>
      </c>
    </row>
    <row r="144" spans="1:22" ht="102">
      <c r="A144" s="5" t="s">
        <v>42</v>
      </c>
      <c r="B144" s="35" t="s">
        <v>131</v>
      </c>
      <c r="C144" s="148" t="s">
        <v>47</v>
      </c>
      <c r="D144" s="161">
        <v>6100000000</v>
      </c>
      <c r="E144" s="117"/>
      <c r="F144" s="117"/>
      <c r="G144" s="37"/>
      <c r="H144" s="39">
        <f>H146+H149</f>
        <v>8627120.719999999</v>
      </c>
      <c r="I144" s="39">
        <f aca="true" t="shared" si="52" ref="I144:T144">I146+I149+I152</f>
        <v>80000</v>
      </c>
      <c r="J144" s="39">
        <f t="shared" si="52"/>
        <v>417500</v>
      </c>
      <c r="K144" s="39">
        <f t="shared" si="52"/>
        <v>35000</v>
      </c>
      <c r="L144" s="39">
        <f t="shared" si="52"/>
        <v>280050</v>
      </c>
      <c r="M144" s="39">
        <f t="shared" si="52"/>
        <v>111375</v>
      </c>
      <c r="N144" s="39">
        <f t="shared" si="52"/>
        <v>0</v>
      </c>
      <c r="O144" s="39">
        <f t="shared" si="52"/>
        <v>362020.72</v>
      </c>
      <c r="P144" s="39">
        <f t="shared" si="52"/>
        <v>864960</v>
      </c>
      <c r="Q144" s="39">
        <f t="shared" si="52"/>
        <v>909900</v>
      </c>
      <c r="R144" s="39">
        <f t="shared" si="52"/>
        <v>1376775</v>
      </c>
      <c r="S144" s="39">
        <f t="shared" si="52"/>
        <v>1953415</v>
      </c>
      <c r="T144" s="39">
        <f t="shared" si="52"/>
        <v>2266125</v>
      </c>
      <c r="U144" s="24">
        <f>I144+J144+K144+L144+M144+N144+O144+P144+Q144+R144+S144+T144</f>
        <v>8657120.719999999</v>
      </c>
      <c r="V144" s="21">
        <f>V146+V149</f>
        <v>8627120.719999999</v>
      </c>
    </row>
    <row r="145" spans="1:22" ht="12.75">
      <c r="A145" s="5"/>
      <c r="B145" s="71"/>
      <c r="C145" s="123"/>
      <c r="D145" s="123"/>
      <c r="E145" s="123"/>
      <c r="F145" s="123"/>
      <c r="G145" s="44"/>
      <c r="H145" s="7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24"/>
      <c r="V145" s="21">
        <f aca="true" t="shared" si="53" ref="V145:V177">SUM(I145:T145)</f>
        <v>0</v>
      </c>
    </row>
    <row r="146" spans="1:22" ht="89.25">
      <c r="A146" s="5" t="s">
        <v>42</v>
      </c>
      <c r="B146" s="35" t="s">
        <v>132</v>
      </c>
      <c r="C146" s="148" t="s">
        <v>47</v>
      </c>
      <c r="D146" s="161">
        <v>6110000000</v>
      </c>
      <c r="E146" s="161"/>
      <c r="F146" s="161"/>
      <c r="G146" s="37"/>
      <c r="H146" s="39">
        <f aca="true" t="shared" si="54" ref="H146:T146">H147+H148</f>
        <v>1100000</v>
      </c>
      <c r="I146" s="39">
        <f t="shared" si="54"/>
        <v>0</v>
      </c>
      <c r="J146" s="39">
        <f t="shared" si="54"/>
        <v>0</v>
      </c>
      <c r="K146" s="39">
        <f t="shared" si="54"/>
        <v>0</v>
      </c>
      <c r="L146" s="39">
        <f t="shared" si="54"/>
        <v>0</v>
      </c>
      <c r="M146" s="39">
        <f t="shared" si="54"/>
        <v>0</v>
      </c>
      <c r="N146" s="39">
        <f t="shared" si="54"/>
        <v>0</v>
      </c>
      <c r="O146" s="39">
        <f t="shared" si="54"/>
        <v>0</v>
      </c>
      <c r="P146" s="39">
        <f t="shared" si="54"/>
        <v>0</v>
      </c>
      <c r="Q146" s="39">
        <f t="shared" si="54"/>
        <v>0</v>
      </c>
      <c r="R146" s="39">
        <f t="shared" si="54"/>
        <v>350000</v>
      </c>
      <c r="S146" s="39">
        <f t="shared" si="54"/>
        <v>150000</v>
      </c>
      <c r="T146" s="39">
        <f t="shared" si="54"/>
        <v>600000</v>
      </c>
      <c r="U146" s="24">
        <f aca="true" t="shared" si="55" ref="U146:U153">I146+J146+K146+L146+M146+N146+O146+P146+Q146+R146+S146+T146</f>
        <v>1100000</v>
      </c>
      <c r="V146" s="21">
        <f t="shared" si="53"/>
        <v>1100000</v>
      </c>
    </row>
    <row r="147" spans="1:22" ht="25.5">
      <c r="A147" s="5" t="s">
        <v>42</v>
      </c>
      <c r="B147" s="72" t="s">
        <v>71</v>
      </c>
      <c r="C147" s="164" t="s">
        <v>47</v>
      </c>
      <c r="D147" s="203" t="s">
        <v>72</v>
      </c>
      <c r="E147" s="162">
        <v>244</v>
      </c>
      <c r="F147" s="162">
        <v>225</v>
      </c>
      <c r="G147" s="44"/>
      <c r="H147" s="52">
        <v>1100000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350000</v>
      </c>
      <c r="S147" s="18">
        <v>150000</v>
      </c>
      <c r="T147" s="18">
        <v>600000</v>
      </c>
      <c r="U147" s="24">
        <f t="shared" si="55"/>
        <v>1100000</v>
      </c>
      <c r="V147" s="21">
        <f t="shared" si="53"/>
        <v>1100000</v>
      </c>
    </row>
    <row r="148" spans="1:22" ht="12.75">
      <c r="A148" s="5"/>
      <c r="B148" s="71"/>
      <c r="C148" s="164"/>
      <c r="D148" s="203"/>
      <c r="E148" s="162"/>
      <c r="F148" s="162"/>
      <c r="G148" s="44"/>
      <c r="H148" s="78">
        <v>0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>
        <v>0</v>
      </c>
      <c r="U148" s="24">
        <f t="shared" si="55"/>
        <v>0</v>
      </c>
      <c r="V148" s="21">
        <f t="shared" si="53"/>
        <v>0</v>
      </c>
    </row>
    <row r="149" spans="1:22" ht="76.5">
      <c r="A149" s="5" t="s">
        <v>42</v>
      </c>
      <c r="B149" s="35" t="s">
        <v>133</v>
      </c>
      <c r="C149" s="148" t="s">
        <v>47</v>
      </c>
      <c r="D149" s="161">
        <v>6120000000</v>
      </c>
      <c r="E149" s="161"/>
      <c r="F149" s="161"/>
      <c r="G149" s="161"/>
      <c r="H149" s="39">
        <f aca="true" t="shared" si="56" ref="H149:T149">H150</f>
        <v>7527120.72</v>
      </c>
      <c r="I149" s="39">
        <f t="shared" si="56"/>
        <v>80000</v>
      </c>
      <c r="J149" s="39">
        <f t="shared" si="56"/>
        <v>417500</v>
      </c>
      <c r="K149" s="39">
        <f t="shared" si="56"/>
        <v>35000</v>
      </c>
      <c r="L149" s="39">
        <f t="shared" si="56"/>
        <v>280050</v>
      </c>
      <c r="M149" s="39">
        <f t="shared" si="56"/>
        <v>111375</v>
      </c>
      <c r="N149" s="39">
        <f t="shared" si="56"/>
        <v>0</v>
      </c>
      <c r="O149" s="39">
        <f t="shared" si="56"/>
        <v>362020.72</v>
      </c>
      <c r="P149" s="39">
        <f t="shared" si="56"/>
        <v>864960</v>
      </c>
      <c r="Q149" s="39">
        <f t="shared" si="56"/>
        <v>909900</v>
      </c>
      <c r="R149" s="39">
        <f t="shared" si="56"/>
        <v>1026775</v>
      </c>
      <c r="S149" s="39">
        <f t="shared" si="56"/>
        <v>1803415</v>
      </c>
      <c r="T149" s="39">
        <f t="shared" si="56"/>
        <v>1636125</v>
      </c>
      <c r="U149" s="24">
        <f t="shared" si="55"/>
        <v>7527120.72</v>
      </c>
      <c r="V149" s="21">
        <f t="shared" si="53"/>
        <v>7527120.72</v>
      </c>
    </row>
    <row r="150" spans="1:22" ht="25.5">
      <c r="A150" s="5" t="s">
        <v>42</v>
      </c>
      <c r="B150" s="72" t="s">
        <v>71</v>
      </c>
      <c r="C150" s="164" t="s">
        <v>47</v>
      </c>
      <c r="D150" s="162">
        <v>6120110140</v>
      </c>
      <c r="E150" s="162">
        <v>244</v>
      </c>
      <c r="F150" s="162">
        <v>225</v>
      </c>
      <c r="G150" s="60"/>
      <c r="H150" s="52">
        <f>6655200+162020.72+709900</f>
        <v>7527120.72</v>
      </c>
      <c r="I150" s="18">
        <v>80000</v>
      </c>
      <c r="J150" s="18">
        <f>20000+397500</f>
        <v>417500</v>
      </c>
      <c r="K150" s="18">
        <v>35000</v>
      </c>
      <c r="L150" s="18">
        <v>280050</v>
      </c>
      <c r="M150" s="18">
        <v>111375</v>
      </c>
      <c r="N150" s="18">
        <v>0</v>
      </c>
      <c r="O150" s="18">
        <f>200000+162020.72</f>
        <v>362020.72</v>
      </c>
      <c r="P150" s="18">
        <v>864960</v>
      </c>
      <c r="Q150" s="18">
        <f>200000+709900</f>
        <v>909900</v>
      </c>
      <c r="R150" s="18">
        <v>1026775</v>
      </c>
      <c r="S150" s="18">
        <v>1803415</v>
      </c>
      <c r="T150" s="18">
        <f>3098625-1065000-397500</f>
        <v>1636125</v>
      </c>
      <c r="U150" s="24">
        <f t="shared" si="55"/>
        <v>7527120.72</v>
      </c>
      <c r="V150" s="21">
        <f t="shared" si="53"/>
        <v>7527120.72</v>
      </c>
    </row>
    <row r="151" spans="1:22" ht="12.75">
      <c r="A151" s="5"/>
      <c r="B151" s="71"/>
      <c r="C151" s="123"/>
      <c r="D151" s="123"/>
      <c r="E151" s="123"/>
      <c r="F151" s="123"/>
      <c r="G151" s="44"/>
      <c r="H151" s="7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24">
        <f t="shared" si="55"/>
        <v>0</v>
      </c>
      <c r="V151" s="21">
        <f t="shared" si="53"/>
        <v>0</v>
      </c>
    </row>
    <row r="152" spans="1:22" ht="76.5">
      <c r="A152" s="42" t="s">
        <v>42</v>
      </c>
      <c r="B152" s="35" t="s">
        <v>134</v>
      </c>
      <c r="C152" s="148" t="s">
        <v>47</v>
      </c>
      <c r="D152" s="161">
        <v>6600110420</v>
      </c>
      <c r="E152" s="161"/>
      <c r="F152" s="161"/>
      <c r="G152" s="161"/>
      <c r="H152" s="39">
        <f aca="true" t="shared" si="57" ref="H152:T152">H153</f>
        <v>30000</v>
      </c>
      <c r="I152" s="39">
        <f t="shared" si="57"/>
        <v>0</v>
      </c>
      <c r="J152" s="39">
        <f t="shared" si="57"/>
        <v>0</v>
      </c>
      <c r="K152" s="39">
        <f t="shared" si="57"/>
        <v>0</v>
      </c>
      <c r="L152" s="39">
        <f t="shared" si="57"/>
        <v>0</v>
      </c>
      <c r="M152" s="39">
        <f t="shared" si="57"/>
        <v>0</v>
      </c>
      <c r="N152" s="39">
        <f t="shared" si="57"/>
        <v>0</v>
      </c>
      <c r="O152" s="39">
        <f t="shared" si="57"/>
        <v>0</v>
      </c>
      <c r="P152" s="39">
        <f t="shared" si="57"/>
        <v>0</v>
      </c>
      <c r="Q152" s="39">
        <f t="shared" si="57"/>
        <v>0</v>
      </c>
      <c r="R152" s="39">
        <f t="shared" si="57"/>
        <v>0</v>
      </c>
      <c r="S152" s="39">
        <f t="shared" si="57"/>
        <v>0</v>
      </c>
      <c r="T152" s="39">
        <f t="shared" si="57"/>
        <v>30000</v>
      </c>
      <c r="U152" s="24">
        <f t="shared" si="55"/>
        <v>30000</v>
      </c>
      <c r="V152" s="21">
        <f t="shared" si="53"/>
        <v>30000</v>
      </c>
    </row>
    <row r="153" spans="1:22" ht="25.5">
      <c r="A153" s="5" t="s">
        <v>42</v>
      </c>
      <c r="B153" s="72" t="s">
        <v>71</v>
      </c>
      <c r="C153" s="164" t="s">
        <v>47</v>
      </c>
      <c r="D153" s="162">
        <v>6600110420</v>
      </c>
      <c r="E153" s="162">
        <v>244</v>
      </c>
      <c r="F153" s="162">
        <v>225</v>
      </c>
      <c r="G153" s="60"/>
      <c r="H153" s="52">
        <v>30000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30000</v>
      </c>
      <c r="U153" s="24">
        <f t="shared" si="55"/>
        <v>30000</v>
      </c>
      <c r="V153" s="21">
        <f t="shared" si="53"/>
        <v>30000</v>
      </c>
    </row>
    <row r="154" spans="1:22" ht="12.75">
      <c r="A154" s="5"/>
      <c r="B154" s="71"/>
      <c r="C154" s="123"/>
      <c r="D154" s="123"/>
      <c r="E154" s="123"/>
      <c r="F154" s="123"/>
      <c r="G154" s="44"/>
      <c r="H154" s="7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24"/>
      <c r="V154" s="21">
        <f t="shared" si="53"/>
        <v>0</v>
      </c>
    </row>
    <row r="155" spans="1:22" ht="12.75">
      <c r="A155" s="5"/>
      <c r="B155" s="29" t="s">
        <v>53</v>
      </c>
      <c r="C155" s="180" t="s">
        <v>47</v>
      </c>
      <c r="D155" s="123"/>
      <c r="E155" s="123"/>
      <c r="F155" s="123"/>
      <c r="G155" s="44"/>
      <c r="H155" s="74">
        <f>H144+H152</f>
        <v>8657120.719999999</v>
      </c>
      <c r="I155" s="75">
        <f aca="true" t="shared" si="58" ref="I155:T155">I144</f>
        <v>80000</v>
      </c>
      <c r="J155" s="75">
        <f t="shared" si="58"/>
        <v>417500</v>
      </c>
      <c r="K155" s="75">
        <f t="shared" si="58"/>
        <v>35000</v>
      </c>
      <c r="L155" s="75">
        <f t="shared" si="58"/>
        <v>280050</v>
      </c>
      <c r="M155" s="75">
        <f t="shared" si="58"/>
        <v>111375</v>
      </c>
      <c r="N155" s="75">
        <f t="shared" si="58"/>
        <v>0</v>
      </c>
      <c r="O155" s="75">
        <f t="shared" si="58"/>
        <v>362020.72</v>
      </c>
      <c r="P155" s="75">
        <f t="shared" si="58"/>
        <v>864960</v>
      </c>
      <c r="Q155" s="75">
        <f t="shared" si="58"/>
        <v>909900</v>
      </c>
      <c r="R155" s="75">
        <f t="shared" si="58"/>
        <v>1376775</v>
      </c>
      <c r="S155" s="75">
        <f t="shared" si="58"/>
        <v>1953415</v>
      </c>
      <c r="T155" s="75">
        <f t="shared" si="58"/>
        <v>2266125</v>
      </c>
      <c r="U155" s="24">
        <f>I155+J155+K155+L155+M155+N155+O155+P155+Q155+R155+S155+T155</f>
        <v>8657120.719999999</v>
      </c>
      <c r="V155" s="21">
        <f t="shared" si="53"/>
        <v>8657120.719999999</v>
      </c>
    </row>
    <row r="156" spans="1:22" ht="12.75">
      <c r="A156" s="5"/>
      <c r="B156" s="71"/>
      <c r="C156" s="123"/>
      <c r="D156" s="123"/>
      <c r="E156" s="123"/>
      <c r="F156" s="123"/>
      <c r="G156" s="44"/>
      <c r="H156" s="7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24"/>
      <c r="V156" s="21">
        <f t="shared" si="53"/>
        <v>0</v>
      </c>
    </row>
    <row r="157" spans="1:22" ht="89.25">
      <c r="A157" s="5" t="s">
        <v>42</v>
      </c>
      <c r="B157" s="35" t="s">
        <v>136</v>
      </c>
      <c r="C157" s="148" t="s">
        <v>23</v>
      </c>
      <c r="D157" s="161">
        <v>6200000000</v>
      </c>
      <c r="E157" s="161"/>
      <c r="F157" s="161"/>
      <c r="G157" s="161"/>
      <c r="H157" s="39">
        <f>H158+H159</f>
        <v>50000</v>
      </c>
      <c r="I157" s="39">
        <f aca="true" t="shared" si="59" ref="I157:T157">I158+I159</f>
        <v>0</v>
      </c>
      <c r="J157" s="39">
        <f t="shared" si="59"/>
        <v>9300</v>
      </c>
      <c r="K157" s="39">
        <f t="shared" si="59"/>
        <v>0</v>
      </c>
      <c r="L157" s="39">
        <f t="shared" si="59"/>
        <v>12500</v>
      </c>
      <c r="M157" s="39">
        <f t="shared" si="59"/>
        <v>0</v>
      </c>
      <c r="N157" s="39">
        <f t="shared" si="59"/>
        <v>0</v>
      </c>
      <c r="O157" s="39">
        <f t="shared" si="59"/>
        <v>20000</v>
      </c>
      <c r="P157" s="39">
        <f t="shared" si="59"/>
        <v>0</v>
      </c>
      <c r="Q157" s="39">
        <f t="shared" si="59"/>
        <v>0</v>
      </c>
      <c r="R157" s="39">
        <f t="shared" si="59"/>
        <v>5000</v>
      </c>
      <c r="S157" s="39">
        <f t="shared" si="59"/>
        <v>0</v>
      </c>
      <c r="T157" s="39">
        <f t="shared" si="59"/>
        <v>3200</v>
      </c>
      <c r="U157" s="24">
        <f>I157+J157+K157+L157+M157+N157+O157+P157+Q157+R157+S157+T157</f>
        <v>50000</v>
      </c>
      <c r="V157" s="21">
        <f t="shared" si="53"/>
        <v>50000</v>
      </c>
    </row>
    <row r="158" spans="1:22" ht="12.75">
      <c r="A158" s="5" t="s">
        <v>42</v>
      </c>
      <c r="B158" s="47" t="s">
        <v>15</v>
      </c>
      <c r="C158" s="164" t="s">
        <v>23</v>
      </c>
      <c r="D158" s="162">
        <v>6210110160</v>
      </c>
      <c r="E158" s="162">
        <v>244</v>
      </c>
      <c r="F158" s="162">
        <v>226</v>
      </c>
      <c r="G158" s="60"/>
      <c r="H158" s="52">
        <v>30000</v>
      </c>
      <c r="I158" s="18">
        <v>0</v>
      </c>
      <c r="J158" s="18">
        <v>9300</v>
      </c>
      <c r="K158" s="18">
        <v>0</v>
      </c>
      <c r="L158" s="18">
        <v>12500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f>12500-7500</f>
        <v>5000</v>
      </c>
      <c r="S158" s="18">
        <v>0</v>
      </c>
      <c r="T158" s="18">
        <f>12500-9300</f>
        <v>3200</v>
      </c>
      <c r="U158" s="24">
        <f>I158+J158+K158+L158+M158+N158+O158+P158+Q158+R158+S158+T158</f>
        <v>30000</v>
      </c>
      <c r="V158" s="21">
        <f t="shared" si="53"/>
        <v>30000</v>
      </c>
    </row>
    <row r="159" spans="1:22" ht="12.75">
      <c r="A159" s="5"/>
      <c r="B159" s="68"/>
      <c r="C159" s="164" t="s">
        <v>23</v>
      </c>
      <c r="D159" s="162">
        <v>6210110160</v>
      </c>
      <c r="E159" s="162">
        <v>414</v>
      </c>
      <c r="F159" s="162"/>
      <c r="G159" s="60"/>
      <c r="H159" s="52">
        <v>20000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20000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24"/>
      <c r="V159" s="21">
        <f t="shared" si="53"/>
        <v>20000</v>
      </c>
    </row>
    <row r="160" spans="1:22" ht="12.75">
      <c r="A160" s="5"/>
      <c r="B160" s="71"/>
      <c r="C160" s="123"/>
      <c r="D160" s="123"/>
      <c r="E160" s="123"/>
      <c r="F160" s="123"/>
      <c r="G160" s="44"/>
      <c r="H160" s="7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24"/>
      <c r="V160" s="21">
        <f t="shared" si="53"/>
        <v>0</v>
      </c>
    </row>
    <row r="161" spans="1:22" ht="89.25">
      <c r="A161" s="5" t="s">
        <v>42</v>
      </c>
      <c r="B161" s="35" t="s">
        <v>135</v>
      </c>
      <c r="C161" s="148" t="s">
        <v>23</v>
      </c>
      <c r="D161" s="161">
        <v>6300000000</v>
      </c>
      <c r="E161" s="161"/>
      <c r="F161" s="161"/>
      <c r="G161" s="161"/>
      <c r="H161" s="39">
        <f aca="true" t="shared" si="60" ref="H161:T161">H162</f>
        <v>10000</v>
      </c>
      <c r="I161" s="39">
        <f t="shared" si="60"/>
        <v>0</v>
      </c>
      <c r="J161" s="39">
        <f t="shared" si="60"/>
        <v>0</v>
      </c>
      <c r="K161" s="39">
        <f t="shared" si="60"/>
        <v>0</v>
      </c>
      <c r="L161" s="39">
        <f t="shared" si="60"/>
        <v>0</v>
      </c>
      <c r="M161" s="39">
        <f t="shared" si="60"/>
        <v>0</v>
      </c>
      <c r="N161" s="39">
        <f t="shared" si="60"/>
        <v>0</v>
      </c>
      <c r="O161" s="39">
        <f t="shared" si="60"/>
        <v>0</v>
      </c>
      <c r="P161" s="39">
        <f t="shared" si="60"/>
        <v>0</v>
      </c>
      <c r="Q161" s="39">
        <f t="shared" si="60"/>
        <v>0</v>
      </c>
      <c r="R161" s="39">
        <f t="shared" si="60"/>
        <v>0</v>
      </c>
      <c r="S161" s="39">
        <f t="shared" si="60"/>
        <v>0</v>
      </c>
      <c r="T161" s="39">
        <f t="shared" si="60"/>
        <v>10000</v>
      </c>
      <c r="U161" s="24">
        <f>I161+J161+K161+L161+M161+N161+O161+P161+Q161+R161+S161+T161</f>
        <v>10000</v>
      </c>
      <c r="V161" s="21">
        <f t="shared" si="53"/>
        <v>10000</v>
      </c>
    </row>
    <row r="162" spans="1:22" ht="12.75">
      <c r="A162" s="5" t="s">
        <v>42</v>
      </c>
      <c r="B162" s="72" t="s">
        <v>16</v>
      </c>
      <c r="C162" s="164" t="s">
        <v>23</v>
      </c>
      <c r="D162" s="162">
        <v>6310110170</v>
      </c>
      <c r="E162" s="162">
        <v>244</v>
      </c>
      <c r="F162" s="162">
        <v>290</v>
      </c>
      <c r="G162" s="162"/>
      <c r="H162" s="52">
        <v>10000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10000</v>
      </c>
      <c r="U162" s="24">
        <f>I162+J162+K162+L162+M162+N162+O162+P162+Q162+R162+S162+T162</f>
        <v>10000</v>
      </c>
      <c r="V162" s="21">
        <f t="shared" si="53"/>
        <v>10000</v>
      </c>
    </row>
    <row r="163" spans="1:22" ht="12.75" hidden="1">
      <c r="A163" s="5"/>
      <c r="B163" s="72"/>
      <c r="C163" s="128"/>
      <c r="D163" s="127"/>
      <c r="E163" s="127"/>
      <c r="F163" s="127"/>
      <c r="G163" s="50"/>
      <c r="H163" s="7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24"/>
      <c r="V163" s="21">
        <f t="shared" si="53"/>
        <v>0</v>
      </c>
    </row>
    <row r="164" spans="1:22" ht="88.5" customHeight="1" hidden="1">
      <c r="A164" s="5" t="s">
        <v>42</v>
      </c>
      <c r="B164" s="35" t="s">
        <v>105</v>
      </c>
      <c r="C164" s="116" t="s">
        <v>23</v>
      </c>
      <c r="D164" s="117">
        <v>6400000000</v>
      </c>
      <c r="E164" s="117"/>
      <c r="F164" s="117"/>
      <c r="G164" s="37"/>
      <c r="H164" s="39">
        <f aca="true" t="shared" si="61" ref="H164:T164">H166</f>
        <v>0</v>
      </c>
      <c r="I164" s="39">
        <f t="shared" si="61"/>
        <v>0</v>
      </c>
      <c r="J164" s="39">
        <f t="shared" si="61"/>
        <v>0</v>
      </c>
      <c r="K164" s="39">
        <f t="shared" si="61"/>
        <v>0</v>
      </c>
      <c r="L164" s="39">
        <f t="shared" si="61"/>
        <v>0</v>
      </c>
      <c r="M164" s="39">
        <f t="shared" si="61"/>
        <v>0</v>
      </c>
      <c r="N164" s="39">
        <f t="shared" si="61"/>
        <v>0</v>
      </c>
      <c r="O164" s="39">
        <f t="shared" si="61"/>
        <v>0</v>
      </c>
      <c r="P164" s="39">
        <f t="shared" si="61"/>
        <v>0</v>
      </c>
      <c r="Q164" s="39">
        <f t="shared" si="61"/>
        <v>0</v>
      </c>
      <c r="R164" s="39">
        <f t="shared" si="61"/>
        <v>0</v>
      </c>
      <c r="S164" s="39">
        <f t="shared" si="61"/>
        <v>0</v>
      </c>
      <c r="T164" s="39">
        <f t="shared" si="61"/>
        <v>0</v>
      </c>
      <c r="U164" s="24">
        <f>I164+J164+K164+L164+M164+N164+O164+P164+Q164+R164+S164+T164</f>
        <v>0</v>
      </c>
      <c r="V164" s="21">
        <f t="shared" si="53"/>
        <v>0</v>
      </c>
    </row>
    <row r="165" spans="1:22" ht="12.75" hidden="1">
      <c r="A165" s="5"/>
      <c r="B165" s="76"/>
      <c r="C165" s="136"/>
      <c r="D165" s="123"/>
      <c r="E165" s="123"/>
      <c r="F165" s="123"/>
      <c r="G165" s="44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24"/>
      <c r="V165" s="21">
        <f t="shared" si="53"/>
        <v>0</v>
      </c>
    </row>
    <row r="166" spans="1:22" ht="120.75" customHeight="1" hidden="1">
      <c r="A166" s="5" t="s">
        <v>42</v>
      </c>
      <c r="B166" s="35" t="s">
        <v>106</v>
      </c>
      <c r="C166" s="116" t="s">
        <v>23</v>
      </c>
      <c r="D166" s="117">
        <v>6410000000</v>
      </c>
      <c r="E166" s="117"/>
      <c r="F166" s="117"/>
      <c r="G166" s="37"/>
      <c r="H166" s="39">
        <f aca="true" t="shared" si="62" ref="H166:T166">H167</f>
        <v>0</v>
      </c>
      <c r="I166" s="39">
        <f t="shared" si="62"/>
        <v>0</v>
      </c>
      <c r="J166" s="39">
        <f t="shared" si="62"/>
        <v>0</v>
      </c>
      <c r="K166" s="39">
        <f t="shared" si="62"/>
        <v>0</v>
      </c>
      <c r="L166" s="39">
        <f t="shared" si="62"/>
        <v>0</v>
      </c>
      <c r="M166" s="39">
        <f t="shared" si="62"/>
        <v>0</v>
      </c>
      <c r="N166" s="39">
        <f t="shared" si="62"/>
        <v>0</v>
      </c>
      <c r="O166" s="39">
        <f t="shared" si="62"/>
        <v>0</v>
      </c>
      <c r="P166" s="39">
        <f t="shared" si="62"/>
        <v>0</v>
      </c>
      <c r="Q166" s="39">
        <f t="shared" si="62"/>
        <v>0</v>
      </c>
      <c r="R166" s="39">
        <f t="shared" si="62"/>
        <v>0</v>
      </c>
      <c r="S166" s="39">
        <f t="shared" si="62"/>
        <v>0</v>
      </c>
      <c r="T166" s="39">
        <f t="shared" si="62"/>
        <v>0</v>
      </c>
      <c r="U166" s="24">
        <f>I166+J166+K166+L166+M166+N166+O166+P166+Q166+R166+S166+T166</f>
        <v>0</v>
      </c>
      <c r="V166" s="21">
        <f t="shared" si="53"/>
        <v>0</v>
      </c>
    </row>
    <row r="167" spans="1:22" ht="12.75" hidden="1">
      <c r="A167" s="5" t="s">
        <v>42</v>
      </c>
      <c r="B167" s="47" t="s">
        <v>15</v>
      </c>
      <c r="C167" s="128" t="s">
        <v>23</v>
      </c>
      <c r="D167" s="127">
        <v>6410110180</v>
      </c>
      <c r="E167" s="127">
        <v>244</v>
      </c>
      <c r="F167" s="127">
        <v>226</v>
      </c>
      <c r="G167" s="50"/>
      <c r="H167" s="52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24">
        <f>I167+J167+K167+L167+M167+N167+O167+P167+Q167+R167+S167+T167</f>
        <v>0</v>
      </c>
      <c r="V167" s="21">
        <f t="shared" si="53"/>
        <v>0</v>
      </c>
    </row>
    <row r="168" spans="1:22" ht="12.75">
      <c r="A168" s="5"/>
      <c r="B168" s="76"/>
      <c r="C168" s="136"/>
      <c r="D168" s="123"/>
      <c r="E168" s="123"/>
      <c r="F168" s="123"/>
      <c r="G168" s="44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24"/>
      <c r="V168" s="21">
        <f t="shared" si="53"/>
        <v>0</v>
      </c>
    </row>
    <row r="169" spans="1:22" ht="12.75">
      <c r="A169" s="5"/>
      <c r="B169" s="29" t="s">
        <v>53</v>
      </c>
      <c r="C169" s="180" t="s">
        <v>23</v>
      </c>
      <c r="D169" s="123"/>
      <c r="E169" s="123"/>
      <c r="F169" s="123"/>
      <c r="G169" s="44"/>
      <c r="H169" s="74">
        <f aca="true" t="shared" si="63" ref="H169:T169">H161+H157+H166</f>
        <v>60000</v>
      </c>
      <c r="I169" s="75">
        <f t="shared" si="63"/>
        <v>0</v>
      </c>
      <c r="J169" s="75">
        <f t="shared" si="63"/>
        <v>9300</v>
      </c>
      <c r="K169" s="75">
        <f t="shared" si="63"/>
        <v>0</v>
      </c>
      <c r="L169" s="75">
        <f t="shared" si="63"/>
        <v>12500</v>
      </c>
      <c r="M169" s="75">
        <f t="shared" si="63"/>
        <v>0</v>
      </c>
      <c r="N169" s="75">
        <f t="shared" si="63"/>
        <v>0</v>
      </c>
      <c r="O169" s="75">
        <f t="shared" si="63"/>
        <v>20000</v>
      </c>
      <c r="P169" s="75">
        <f t="shared" si="63"/>
        <v>0</v>
      </c>
      <c r="Q169" s="75">
        <f t="shared" si="63"/>
        <v>0</v>
      </c>
      <c r="R169" s="75">
        <f t="shared" si="63"/>
        <v>5000</v>
      </c>
      <c r="S169" s="75">
        <f t="shared" si="63"/>
        <v>0</v>
      </c>
      <c r="T169" s="75">
        <f t="shared" si="63"/>
        <v>13200</v>
      </c>
      <c r="U169" s="24">
        <f>I169+J169+K169+L169+M169+N169+O169+P169+Q169+R169+S169+T169</f>
        <v>60000</v>
      </c>
      <c r="V169" s="21">
        <f t="shared" si="53"/>
        <v>60000</v>
      </c>
    </row>
    <row r="170" spans="1:22" ht="12.75">
      <c r="A170" s="5"/>
      <c r="B170" s="71"/>
      <c r="C170" s="123"/>
      <c r="D170" s="123"/>
      <c r="E170" s="123"/>
      <c r="F170" s="123"/>
      <c r="G170" s="44"/>
      <c r="H170" s="77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24"/>
      <c r="V170" s="21">
        <f t="shared" si="53"/>
        <v>0</v>
      </c>
    </row>
    <row r="171" spans="1:22" ht="12.75">
      <c r="A171" s="53"/>
      <c r="B171" s="54" t="s">
        <v>73</v>
      </c>
      <c r="C171" s="139"/>
      <c r="D171" s="139"/>
      <c r="E171" s="139"/>
      <c r="F171" s="139"/>
      <c r="G171" s="79"/>
      <c r="H171" s="80">
        <f aca="true" t="shared" si="64" ref="H171:T171">H169+H155</f>
        <v>8717120.719999999</v>
      </c>
      <c r="I171" s="80">
        <f t="shared" si="64"/>
        <v>80000</v>
      </c>
      <c r="J171" s="80">
        <f t="shared" si="64"/>
        <v>426800</v>
      </c>
      <c r="K171" s="80">
        <f t="shared" si="64"/>
        <v>35000</v>
      </c>
      <c r="L171" s="80">
        <f t="shared" si="64"/>
        <v>292550</v>
      </c>
      <c r="M171" s="80">
        <f t="shared" si="64"/>
        <v>111375</v>
      </c>
      <c r="N171" s="80">
        <f t="shared" si="64"/>
        <v>0</v>
      </c>
      <c r="O171" s="80">
        <f t="shared" si="64"/>
        <v>382020.72</v>
      </c>
      <c r="P171" s="80">
        <f t="shared" si="64"/>
        <v>864960</v>
      </c>
      <c r="Q171" s="80">
        <f t="shared" si="64"/>
        <v>909900</v>
      </c>
      <c r="R171" s="80">
        <f t="shared" si="64"/>
        <v>1381775</v>
      </c>
      <c r="S171" s="80">
        <f t="shared" si="64"/>
        <v>1953415</v>
      </c>
      <c r="T171" s="80">
        <f t="shared" si="64"/>
        <v>2279325</v>
      </c>
      <c r="U171" s="24">
        <f>I171+J171+K171+L171+M171+N171+O171+P171+Q171+R171+S171+T171</f>
        <v>8717120.719999999</v>
      </c>
      <c r="V171" s="199">
        <f t="shared" si="53"/>
        <v>8717120.719999999</v>
      </c>
    </row>
    <row r="172" spans="1:22" ht="12.75">
      <c r="A172" s="42"/>
      <c r="B172" s="66"/>
      <c r="C172" s="123"/>
      <c r="D172" s="123"/>
      <c r="E172" s="123"/>
      <c r="F172" s="123"/>
      <c r="G172" s="44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24"/>
      <c r="V172" s="21">
        <f t="shared" si="53"/>
        <v>0</v>
      </c>
    </row>
    <row r="173" spans="1:22" ht="84" customHeight="1">
      <c r="A173" s="5" t="s">
        <v>42</v>
      </c>
      <c r="B173" s="35" t="s">
        <v>138</v>
      </c>
      <c r="C173" s="148" t="s">
        <v>24</v>
      </c>
      <c r="D173" s="161">
        <v>6400000000</v>
      </c>
      <c r="E173" s="117"/>
      <c r="F173" s="117"/>
      <c r="G173" s="37"/>
      <c r="H173" s="39">
        <f aca="true" t="shared" si="65" ref="H173:T173">H175+H178+H182+H185+H188+H191</f>
        <v>12699090.73</v>
      </c>
      <c r="I173" s="39">
        <f t="shared" si="65"/>
        <v>7616.33</v>
      </c>
      <c r="J173" s="39">
        <f t="shared" si="65"/>
        <v>0</v>
      </c>
      <c r="K173" s="39">
        <f t="shared" si="65"/>
        <v>6400</v>
      </c>
      <c r="L173" s="39">
        <f t="shared" si="65"/>
        <v>6400</v>
      </c>
      <c r="M173" s="39">
        <f t="shared" si="65"/>
        <v>56400</v>
      </c>
      <c r="N173" s="39">
        <f t="shared" si="65"/>
        <v>30183.67</v>
      </c>
      <c r="O173" s="39">
        <f t="shared" si="65"/>
        <v>22800</v>
      </c>
      <c r="P173" s="39">
        <f t="shared" si="65"/>
        <v>6400</v>
      </c>
      <c r="Q173" s="39">
        <f t="shared" si="65"/>
        <v>6400</v>
      </c>
      <c r="R173" s="39">
        <f t="shared" si="65"/>
        <v>56400</v>
      </c>
      <c r="S173" s="39">
        <f t="shared" si="65"/>
        <v>12478800</v>
      </c>
      <c r="T173" s="39">
        <f t="shared" si="65"/>
        <v>21290.73</v>
      </c>
      <c r="U173" s="24">
        <f>I173+J173+K173+L173+M173+N173+O173+P173+Q173+R173+S173+T173</f>
        <v>12699090.73</v>
      </c>
      <c r="V173" s="21">
        <f t="shared" si="53"/>
        <v>12699090.73</v>
      </c>
    </row>
    <row r="174" spans="1:22" ht="13.5" customHeight="1">
      <c r="A174" s="5"/>
      <c r="B174" s="43"/>
      <c r="C174" s="122"/>
      <c r="D174" s="123"/>
      <c r="E174" s="123"/>
      <c r="F174" s="123"/>
      <c r="G174" s="44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24"/>
      <c r="V174" s="21">
        <f t="shared" si="53"/>
        <v>0</v>
      </c>
    </row>
    <row r="175" spans="1:22" ht="120" customHeight="1">
      <c r="A175" s="5" t="s">
        <v>42</v>
      </c>
      <c r="B175" s="35" t="s">
        <v>137</v>
      </c>
      <c r="C175" s="148" t="s">
        <v>24</v>
      </c>
      <c r="D175" s="161">
        <v>6410000000</v>
      </c>
      <c r="E175" s="160"/>
      <c r="F175" s="160"/>
      <c r="G175" s="37"/>
      <c r="H175" s="39">
        <f aca="true" t="shared" si="66" ref="H175:T175">H176</f>
        <v>10000</v>
      </c>
      <c r="I175" s="39">
        <f t="shared" si="66"/>
        <v>0</v>
      </c>
      <c r="J175" s="39">
        <f t="shared" si="66"/>
        <v>0</v>
      </c>
      <c r="K175" s="39">
        <f t="shared" si="66"/>
        <v>0</v>
      </c>
      <c r="L175" s="39">
        <f t="shared" si="66"/>
        <v>0</v>
      </c>
      <c r="M175" s="39">
        <f t="shared" si="66"/>
        <v>0</v>
      </c>
      <c r="N175" s="39">
        <f t="shared" si="66"/>
        <v>0</v>
      </c>
      <c r="O175" s="39">
        <f t="shared" si="66"/>
        <v>10000</v>
      </c>
      <c r="P175" s="39">
        <f t="shared" si="66"/>
        <v>0</v>
      </c>
      <c r="Q175" s="39">
        <f t="shared" si="66"/>
        <v>0</v>
      </c>
      <c r="R175" s="39">
        <f t="shared" si="66"/>
        <v>0</v>
      </c>
      <c r="S175" s="39">
        <f t="shared" si="66"/>
        <v>0</v>
      </c>
      <c r="T175" s="39">
        <f t="shared" si="66"/>
        <v>0</v>
      </c>
      <c r="U175" s="24">
        <f>I175+J175+K175+L175+M175+N175+O175+P175+Q175+R175+S175+T175</f>
        <v>10000</v>
      </c>
      <c r="V175" s="21">
        <f t="shared" si="53"/>
        <v>10000</v>
      </c>
    </row>
    <row r="176" spans="1:22" ht="21" customHeight="1">
      <c r="A176" s="5" t="s">
        <v>42</v>
      </c>
      <c r="B176" s="47" t="s">
        <v>15</v>
      </c>
      <c r="C176" s="164" t="s">
        <v>24</v>
      </c>
      <c r="D176" s="162">
        <v>6410110180</v>
      </c>
      <c r="E176" s="162">
        <v>414</v>
      </c>
      <c r="F176" s="162">
        <v>226</v>
      </c>
      <c r="G176" s="50"/>
      <c r="H176" s="52">
        <v>10000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10000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24">
        <f>I176+J176+K176+L176+M176+N176+O176+P176+Q176+R176+S176+T176</f>
        <v>10000</v>
      </c>
      <c r="V176" s="21">
        <f t="shared" si="53"/>
        <v>10000</v>
      </c>
    </row>
    <row r="177" spans="1:22" ht="14.25" customHeight="1">
      <c r="A177" s="5"/>
      <c r="B177" s="71"/>
      <c r="C177" s="122"/>
      <c r="D177" s="123"/>
      <c r="E177" s="123"/>
      <c r="F177" s="123"/>
      <c r="G177" s="44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24"/>
      <c r="V177" s="21">
        <f t="shared" si="53"/>
        <v>0</v>
      </c>
    </row>
    <row r="178" spans="1:22" ht="69.75" customHeight="1">
      <c r="A178" s="5" t="s">
        <v>42</v>
      </c>
      <c r="B178" s="35" t="s">
        <v>139</v>
      </c>
      <c r="C178" s="148" t="s">
        <v>24</v>
      </c>
      <c r="D178" s="161">
        <v>6420000000</v>
      </c>
      <c r="E178" s="161"/>
      <c r="F178" s="161"/>
      <c r="G178" s="37"/>
      <c r="H178" s="39">
        <f aca="true" t="shared" si="67" ref="H178:T178">H179+H180</f>
        <v>127100</v>
      </c>
      <c r="I178" s="39">
        <f t="shared" si="67"/>
        <v>7616.33</v>
      </c>
      <c r="J178" s="39">
        <f t="shared" si="67"/>
        <v>0</v>
      </c>
      <c r="K178" s="39">
        <f t="shared" si="67"/>
        <v>6400</v>
      </c>
      <c r="L178" s="39">
        <f t="shared" si="67"/>
        <v>6400</v>
      </c>
      <c r="M178" s="39">
        <f t="shared" si="67"/>
        <v>6400</v>
      </c>
      <c r="N178" s="39">
        <f t="shared" si="67"/>
        <v>30183.67</v>
      </c>
      <c r="O178" s="39">
        <f t="shared" si="67"/>
        <v>12800</v>
      </c>
      <c r="P178" s="39">
        <f t="shared" si="67"/>
        <v>6400</v>
      </c>
      <c r="Q178" s="39">
        <f t="shared" si="67"/>
        <v>6400</v>
      </c>
      <c r="R178" s="39">
        <f t="shared" si="67"/>
        <v>6400</v>
      </c>
      <c r="S178" s="39">
        <f t="shared" si="67"/>
        <v>31400</v>
      </c>
      <c r="T178" s="39">
        <f t="shared" si="67"/>
        <v>6700</v>
      </c>
      <c r="U178" s="24">
        <f aca="true" t="shared" si="68" ref="U178:U189">I178+J178+K178+L178+M178+N178+O178+P178+Q178+R178+S178+T178</f>
        <v>127100</v>
      </c>
      <c r="V178" s="21">
        <f aca="true" t="shared" si="69" ref="V178:V209">SUM(I178:T178)</f>
        <v>127100</v>
      </c>
    </row>
    <row r="179" spans="1:22" ht="25.5">
      <c r="A179" s="5" t="s">
        <v>42</v>
      </c>
      <c r="B179" s="72" t="s">
        <v>71</v>
      </c>
      <c r="C179" s="164" t="s">
        <v>24</v>
      </c>
      <c r="D179" s="162">
        <v>6420110150</v>
      </c>
      <c r="E179" s="162">
        <v>244</v>
      </c>
      <c r="F179" s="162">
        <v>225</v>
      </c>
      <c r="G179" s="50"/>
      <c r="H179" s="78">
        <f>77100+1216.33</f>
        <v>78316.33</v>
      </c>
      <c r="I179" s="78">
        <f>6400+1216.33</f>
        <v>7616.33</v>
      </c>
      <c r="J179" s="78">
        <v>0</v>
      </c>
      <c r="K179" s="78">
        <v>6400</v>
      </c>
      <c r="L179" s="78">
        <v>6400</v>
      </c>
      <c r="M179" s="78">
        <v>6400</v>
      </c>
      <c r="N179" s="78">
        <v>6400</v>
      </c>
      <c r="O179" s="78">
        <f>6400+6400</f>
        <v>12800</v>
      </c>
      <c r="P179" s="78">
        <v>6400</v>
      </c>
      <c r="Q179" s="78">
        <v>6400</v>
      </c>
      <c r="R179" s="78">
        <v>6400</v>
      </c>
      <c r="S179" s="78">
        <v>6400</v>
      </c>
      <c r="T179" s="78">
        <v>6700</v>
      </c>
      <c r="U179" s="24">
        <f t="shared" si="68"/>
        <v>78316.33</v>
      </c>
      <c r="V179" s="21">
        <f t="shared" si="69"/>
        <v>78316.33</v>
      </c>
    </row>
    <row r="180" spans="1:22" ht="17.25" customHeight="1">
      <c r="A180" s="5" t="s">
        <v>42</v>
      </c>
      <c r="B180" s="47" t="s">
        <v>15</v>
      </c>
      <c r="C180" s="164" t="s">
        <v>24</v>
      </c>
      <c r="D180" s="162">
        <v>6420110150</v>
      </c>
      <c r="E180" s="162">
        <v>414</v>
      </c>
      <c r="F180" s="162">
        <v>226</v>
      </c>
      <c r="G180" s="50"/>
      <c r="H180" s="78">
        <f>50000-1216.33</f>
        <v>48783.67</v>
      </c>
      <c r="I180" s="78">
        <v>0</v>
      </c>
      <c r="J180" s="77">
        <v>0</v>
      </c>
      <c r="K180" s="78">
        <v>0</v>
      </c>
      <c r="L180" s="78">
        <v>0</v>
      </c>
      <c r="M180" s="78">
        <v>0</v>
      </c>
      <c r="N180" s="78">
        <f>25000-1216.33</f>
        <v>23783.67</v>
      </c>
      <c r="O180" s="78">
        <v>0</v>
      </c>
      <c r="P180" s="78">
        <v>0</v>
      </c>
      <c r="Q180" s="78">
        <v>0</v>
      </c>
      <c r="R180" s="78">
        <v>0</v>
      </c>
      <c r="S180" s="78">
        <v>25000</v>
      </c>
      <c r="T180" s="78">
        <v>0</v>
      </c>
      <c r="U180" s="24">
        <f t="shared" si="68"/>
        <v>48783.67</v>
      </c>
      <c r="V180" s="21">
        <f t="shared" si="69"/>
        <v>48783.67</v>
      </c>
    </row>
    <row r="181" spans="1:22" ht="12.75">
      <c r="A181" s="42"/>
      <c r="B181" s="66"/>
      <c r="C181" s="123"/>
      <c r="D181" s="123"/>
      <c r="E181" s="123"/>
      <c r="F181" s="123"/>
      <c r="G181" s="44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24">
        <f t="shared" si="68"/>
        <v>0</v>
      </c>
      <c r="V181" s="21">
        <f t="shared" si="69"/>
        <v>0</v>
      </c>
    </row>
    <row r="182" spans="1:22" ht="73.5" customHeight="1">
      <c r="A182" s="5" t="s">
        <v>42</v>
      </c>
      <c r="B182" s="35" t="s">
        <v>140</v>
      </c>
      <c r="C182" s="148" t="s">
        <v>24</v>
      </c>
      <c r="D182" s="161">
        <v>6430000000</v>
      </c>
      <c r="E182" s="161"/>
      <c r="F182" s="161"/>
      <c r="G182" s="37"/>
      <c r="H182" s="39">
        <f aca="true" t="shared" si="70" ref="H182:T182">H183</f>
        <v>30000</v>
      </c>
      <c r="I182" s="39">
        <f t="shared" si="70"/>
        <v>0</v>
      </c>
      <c r="J182" s="39">
        <f t="shared" si="70"/>
        <v>0</v>
      </c>
      <c r="K182" s="39">
        <f t="shared" si="70"/>
        <v>0</v>
      </c>
      <c r="L182" s="39">
        <f t="shared" si="70"/>
        <v>0</v>
      </c>
      <c r="M182" s="39">
        <f t="shared" si="70"/>
        <v>0</v>
      </c>
      <c r="N182" s="39">
        <f t="shared" si="70"/>
        <v>0</v>
      </c>
      <c r="O182" s="39">
        <f t="shared" si="70"/>
        <v>0</v>
      </c>
      <c r="P182" s="39">
        <f t="shared" si="70"/>
        <v>0</v>
      </c>
      <c r="Q182" s="39">
        <f t="shared" si="70"/>
        <v>0</v>
      </c>
      <c r="R182" s="39">
        <f t="shared" si="70"/>
        <v>0</v>
      </c>
      <c r="S182" s="39">
        <f t="shared" si="70"/>
        <v>30000</v>
      </c>
      <c r="T182" s="39">
        <f t="shared" si="70"/>
        <v>0</v>
      </c>
      <c r="U182" s="24">
        <f t="shared" si="68"/>
        <v>30000</v>
      </c>
      <c r="V182" s="21">
        <f t="shared" si="69"/>
        <v>30000</v>
      </c>
    </row>
    <row r="183" spans="1:22" ht="25.5">
      <c r="A183" s="5" t="s">
        <v>42</v>
      </c>
      <c r="B183" s="72" t="s">
        <v>71</v>
      </c>
      <c r="C183" s="164" t="s">
        <v>24</v>
      </c>
      <c r="D183" s="162">
        <v>6430110200</v>
      </c>
      <c r="E183" s="162">
        <v>244</v>
      </c>
      <c r="F183" s="162">
        <v>225</v>
      </c>
      <c r="G183" s="44"/>
      <c r="H183" s="78">
        <v>30000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  <c r="Q183" s="78">
        <v>0</v>
      </c>
      <c r="R183" s="78">
        <v>0</v>
      </c>
      <c r="S183" s="78">
        <v>30000</v>
      </c>
      <c r="T183" s="78">
        <v>0</v>
      </c>
      <c r="U183" s="24">
        <f t="shared" si="68"/>
        <v>30000</v>
      </c>
      <c r="V183" s="21">
        <f t="shared" si="69"/>
        <v>30000</v>
      </c>
    </row>
    <row r="184" spans="1:22" ht="12.75">
      <c r="A184" s="42"/>
      <c r="B184" s="66"/>
      <c r="C184" s="123"/>
      <c r="D184" s="123"/>
      <c r="E184" s="123"/>
      <c r="F184" s="123"/>
      <c r="G184" s="44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24">
        <f t="shared" si="68"/>
        <v>0</v>
      </c>
      <c r="V184" s="21">
        <f t="shared" si="69"/>
        <v>0</v>
      </c>
    </row>
    <row r="185" spans="1:22" ht="69" customHeight="1">
      <c r="A185" s="5" t="s">
        <v>42</v>
      </c>
      <c r="B185" s="35" t="s">
        <v>141</v>
      </c>
      <c r="C185" s="148" t="s">
        <v>24</v>
      </c>
      <c r="D185" s="161">
        <v>6440000000</v>
      </c>
      <c r="E185" s="161"/>
      <c r="F185" s="161"/>
      <c r="G185" s="37"/>
      <c r="H185" s="39">
        <f aca="true" t="shared" si="71" ref="H185:T185">H186</f>
        <v>30000</v>
      </c>
      <c r="I185" s="39">
        <f t="shared" si="71"/>
        <v>0</v>
      </c>
      <c r="J185" s="39">
        <f t="shared" si="71"/>
        <v>0</v>
      </c>
      <c r="K185" s="39">
        <f t="shared" si="71"/>
        <v>0</v>
      </c>
      <c r="L185" s="39">
        <f t="shared" si="71"/>
        <v>0</v>
      </c>
      <c r="M185" s="39">
        <f t="shared" si="71"/>
        <v>0</v>
      </c>
      <c r="N185" s="39">
        <f t="shared" si="71"/>
        <v>0</v>
      </c>
      <c r="O185" s="39">
        <f t="shared" si="71"/>
        <v>0</v>
      </c>
      <c r="P185" s="39">
        <f t="shared" si="71"/>
        <v>0</v>
      </c>
      <c r="Q185" s="39">
        <f t="shared" si="71"/>
        <v>0</v>
      </c>
      <c r="R185" s="39">
        <f t="shared" si="71"/>
        <v>0</v>
      </c>
      <c r="S185" s="39">
        <f t="shared" si="71"/>
        <v>30000</v>
      </c>
      <c r="T185" s="39">
        <f t="shared" si="71"/>
        <v>0</v>
      </c>
      <c r="U185" s="24">
        <f t="shared" si="68"/>
        <v>30000</v>
      </c>
      <c r="V185" s="21">
        <f t="shared" si="69"/>
        <v>30000</v>
      </c>
    </row>
    <row r="186" spans="1:22" ht="25.5">
      <c r="A186" s="5" t="s">
        <v>42</v>
      </c>
      <c r="B186" s="72" t="s">
        <v>71</v>
      </c>
      <c r="C186" s="164" t="s">
        <v>24</v>
      </c>
      <c r="D186" s="162">
        <v>6440110210</v>
      </c>
      <c r="E186" s="162">
        <v>244</v>
      </c>
      <c r="F186" s="162">
        <v>225</v>
      </c>
      <c r="G186" s="44"/>
      <c r="H186" s="78">
        <v>30000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30000</v>
      </c>
      <c r="T186" s="78">
        <v>0</v>
      </c>
      <c r="U186" s="24">
        <f t="shared" si="68"/>
        <v>30000</v>
      </c>
      <c r="V186" s="21">
        <f t="shared" si="69"/>
        <v>30000</v>
      </c>
    </row>
    <row r="187" spans="1:22" ht="15.75" customHeight="1">
      <c r="A187" s="42"/>
      <c r="B187" s="66"/>
      <c r="C187" s="123"/>
      <c r="D187" s="123"/>
      <c r="E187" s="123"/>
      <c r="F187" s="123"/>
      <c r="G187" s="44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24">
        <f t="shared" si="68"/>
        <v>0</v>
      </c>
      <c r="V187" s="21">
        <f t="shared" si="69"/>
        <v>0</v>
      </c>
    </row>
    <row r="188" spans="1:22" ht="165" customHeight="1">
      <c r="A188" s="5" t="s">
        <v>42</v>
      </c>
      <c r="B188" s="35" t="s">
        <v>170</v>
      </c>
      <c r="C188" s="148" t="s">
        <v>24</v>
      </c>
      <c r="D188" s="161">
        <v>6450000000</v>
      </c>
      <c r="E188" s="161"/>
      <c r="F188" s="161"/>
      <c r="G188" s="37"/>
      <c r="H188" s="39">
        <f aca="true" t="shared" si="72" ref="H188:T188">H189</f>
        <v>12337400</v>
      </c>
      <c r="I188" s="39">
        <f t="shared" si="72"/>
        <v>0</v>
      </c>
      <c r="J188" s="39">
        <f t="shared" si="72"/>
        <v>0</v>
      </c>
      <c r="K188" s="39">
        <f t="shared" si="72"/>
        <v>0</v>
      </c>
      <c r="L188" s="39">
        <f t="shared" si="72"/>
        <v>0</v>
      </c>
      <c r="M188" s="39">
        <f t="shared" si="72"/>
        <v>0</v>
      </c>
      <c r="N188" s="39">
        <f t="shared" si="72"/>
        <v>0</v>
      </c>
      <c r="O188" s="39">
        <f t="shared" si="72"/>
        <v>0</v>
      </c>
      <c r="P188" s="39">
        <f t="shared" si="72"/>
        <v>0</v>
      </c>
      <c r="Q188" s="39">
        <f t="shared" si="72"/>
        <v>0</v>
      </c>
      <c r="R188" s="39">
        <f t="shared" si="72"/>
        <v>0</v>
      </c>
      <c r="S188" s="39">
        <f t="shared" si="72"/>
        <v>12337400</v>
      </c>
      <c r="T188" s="39">
        <f t="shared" si="72"/>
        <v>0</v>
      </c>
      <c r="U188" s="24">
        <f t="shared" si="68"/>
        <v>12337400</v>
      </c>
      <c r="V188" s="21">
        <f t="shared" si="69"/>
        <v>12337400</v>
      </c>
    </row>
    <row r="189" spans="1:22" ht="12.75">
      <c r="A189" s="5" t="s">
        <v>42</v>
      </c>
      <c r="B189" s="47" t="s">
        <v>15</v>
      </c>
      <c r="C189" s="164" t="s">
        <v>24</v>
      </c>
      <c r="D189" s="50" t="s">
        <v>169</v>
      </c>
      <c r="E189" s="162">
        <v>414</v>
      </c>
      <c r="F189" s="162">
        <v>226</v>
      </c>
      <c r="G189" s="44"/>
      <c r="H189" s="78">
        <f>863600+100+11473700</f>
        <v>12337400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12337400</v>
      </c>
      <c r="T189" s="78">
        <v>0</v>
      </c>
      <c r="U189" s="24">
        <f t="shared" si="68"/>
        <v>12337400</v>
      </c>
      <c r="V189" s="21">
        <f t="shared" si="69"/>
        <v>12337400</v>
      </c>
    </row>
    <row r="190" spans="1:22" ht="12.75">
      <c r="A190" s="42"/>
      <c r="B190" s="66"/>
      <c r="C190" s="123"/>
      <c r="D190" s="123"/>
      <c r="E190" s="123"/>
      <c r="F190" s="123"/>
      <c r="G190" s="44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24"/>
      <c r="V190" s="21">
        <f t="shared" si="69"/>
        <v>0</v>
      </c>
    </row>
    <row r="191" spans="1:22" ht="76.5">
      <c r="A191" s="5" t="s">
        <v>42</v>
      </c>
      <c r="B191" s="35" t="s">
        <v>143</v>
      </c>
      <c r="C191" s="148" t="s">
        <v>24</v>
      </c>
      <c r="D191" s="161">
        <v>6460000000</v>
      </c>
      <c r="E191" s="161"/>
      <c r="F191" s="161"/>
      <c r="G191" s="37"/>
      <c r="H191" s="39">
        <f>H192+H193</f>
        <v>164590.73</v>
      </c>
      <c r="I191" s="39">
        <f aca="true" t="shared" si="73" ref="I191:T191">I192+I193</f>
        <v>0</v>
      </c>
      <c r="J191" s="39">
        <f t="shared" si="73"/>
        <v>0</v>
      </c>
      <c r="K191" s="39">
        <f t="shared" si="73"/>
        <v>0</v>
      </c>
      <c r="L191" s="39">
        <f t="shared" si="73"/>
        <v>0</v>
      </c>
      <c r="M191" s="39">
        <f t="shared" si="73"/>
        <v>50000</v>
      </c>
      <c r="N191" s="39">
        <f t="shared" si="73"/>
        <v>0</v>
      </c>
      <c r="O191" s="39">
        <f t="shared" si="73"/>
        <v>0</v>
      </c>
      <c r="P191" s="39">
        <f t="shared" si="73"/>
        <v>0</v>
      </c>
      <c r="Q191" s="39">
        <f t="shared" si="73"/>
        <v>0</v>
      </c>
      <c r="R191" s="39">
        <f t="shared" si="73"/>
        <v>50000</v>
      </c>
      <c r="S191" s="39">
        <f t="shared" si="73"/>
        <v>50000</v>
      </c>
      <c r="T191" s="39">
        <f t="shared" si="73"/>
        <v>14590.73</v>
      </c>
      <c r="U191" s="24">
        <f>I191+J191+K191+L191+M191+N191+O191+P191+Q191+R191+S191+T191</f>
        <v>164590.73</v>
      </c>
      <c r="V191" s="21">
        <f t="shared" si="69"/>
        <v>164590.73</v>
      </c>
    </row>
    <row r="192" spans="1:22" ht="12.75">
      <c r="A192" s="5" t="s">
        <v>42</v>
      </c>
      <c r="B192" s="47" t="s">
        <v>15</v>
      </c>
      <c r="C192" s="164" t="s">
        <v>24</v>
      </c>
      <c r="D192" s="162">
        <v>6460110230</v>
      </c>
      <c r="E192" s="162">
        <v>414</v>
      </c>
      <c r="F192" s="162">
        <v>226</v>
      </c>
      <c r="G192" s="44"/>
      <c r="H192" s="78">
        <f>150000</f>
        <v>150000</v>
      </c>
      <c r="I192" s="78">
        <v>0</v>
      </c>
      <c r="J192" s="78">
        <v>0</v>
      </c>
      <c r="K192" s="78">
        <v>0</v>
      </c>
      <c r="L192" s="78">
        <v>0</v>
      </c>
      <c r="M192" s="78">
        <v>50000</v>
      </c>
      <c r="N192" s="78">
        <v>0</v>
      </c>
      <c r="O192" s="78">
        <v>0</v>
      </c>
      <c r="P192" s="78">
        <v>0</v>
      </c>
      <c r="Q192" s="78">
        <v>0</v>
      </c>
      <c r="R192" s="78">
        <v>50000</v>
      </c>
      <c r="S192" s="78">
        <v>50000</v>
      </c>
      <c r="T192" s="78">
        <v>0</v>
      </c>
      <c r="U192" s="24">
        <f>I192+J192+K192+L192+M192+N192+O192+P192+Q192+R192+S192+T192</f>
        <v>150000</v>
      </c>
      <c r="V192" s="21">
        <f t="shared" si="69"/>
        <v>150000</v>
      </c>
    </row>
    <row r="193" spans="1:22" ht="12.75">
      <c r="A193" s="42"/>
      <c r="B193" s="66"/>
      <c r="C193" s="123"/>
      <c r="D193" s="123"/>
      <c r="E193" s="50">
        <v>244</v>
      </c>
      <c r="F193" s="50">
        <v>226</v>
      </c>
      <c r="G193" s="50"/>
      <c r="H193" s="78">
        <f>14590.73</f>
        <v>14590.73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14590.73</v>
      </c>
      <c r="U193" s="24"/>
      <c r="V193" s="21">
        <f t="shared" si="69"/>
        <v>14590.73</v>
      </c>
    </row>
    <row r="194" spans="1:22" ht="12.75">
      <c r="A194" s="42"/>
      <c r="B194" s="29" t="s">
        <v>53</v>
      </c>
      <c r="C194" s="180" t="s">
        <v>24</v>
      </c>
      <c r="D194" s="123"/>
      <c r="E194" s="123"/>
      <c r="F194" s="123"/>
      <c r="G194" s="44"/>
      <c r="H194" s="74">
        <f aca="true" t="shared" si="74" ref="H194:T194">H173</f>
        <v>12699090.73</v>
      </c>
      <c r="I194" s="75">
        <f t="shared" si="74"/>
        <v>7616.33</v>
      </c>
      <c r="J194" s="75">
        <f t="shared" si="74"/>
        <v>0</v>
      </c>
      <c r="K194" s="75">
        <f t="shared" si="74"/>
        <v>6400</v>
      </c>
      <c r="L194" s="75">
        <f t="shared" si="74"/>
        <v>6400</v>
      </c>
      <c r="M194" s="75">
        <f t="shared" si="74"/>
        <v>56400</v>
      </c>
      <c r="N194" s="75">
        <f t="shared" si="74"/>
        <v>30183.67</v>
      </c>
      <c r="O194" s="75">
        <f t="shared" si="74"/>
        <v>22800</v>
      </c>
      <c r="P194" s="75">
        <f t="shared" si="74"/>
        <v>6400</v>
      </c>
      <c r="Q194" s="75">
        <f t="shared" si="74"/>
        <v>6400</v>
      </c>
      <c r="R194" s="75">
        <f t="shared" si="74"/>
        <v>56400</v>
      </c>
      <c r="S194" s="75">
        <f t="shared" si="74"/>
        <v>12478800</v>
      </c>
      <c r="T194" s="75">
        <f t="shared" si="74"/>
        <v>21290.73</v>
      </c>
      <c r="U194" s="24">
        <f>I194+J194+K194+L194+M194+N194+O194+P194+Q194+R194+S194+T194</f>
        <v>12699090.73</v>
      </c>
      <c r="V194" s="21">
        <f t="shared" si="69"/>
        <v>12699090.73</v>
      </c>
    </row>
    <row r="195" spans="1:22" ht="12.75">
      <c r="A195" s="42"/>
      <c r="B195" s="66"/>
      <c r="C195" s="123"/>
      <c r="D195" s="123"/>
      <c r="E195" s="123"/>
      <c r="F195" s="123"/>
      <c r="G195" s="44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24"/>
      <c r="V195" s="21">
        <f t="shared" si="69"/>
        <v>0</v>
      </c>
    </row>
    <row r="196" spans="1:22" ht="83.25" customHeight="1">
      <c r="A196" s="5" t="s">
        <v>42</v>
      </c>
      <c r="B196" s="35" t="s">
        <v>138</v>
      </c>
      <c r="C196" s="148" t="s">
        <v>25</v>
      </c>
      <c r="D196" s="161">
        <v>6400000000</v>
      </c>
      <c r="E196" s="117"/>
      <c r="F196" s="117"/>
      <c r="G196" s="37"/>
      <c r="H196" s="39">
        <f aca="true" t="shared" si="75" ref="H196:T196">H198+H204</f>
        <v>1475500</v>
      </c>
      <c r="I196" s="39">
        <f t="shared" si="75"/>
        <v>7700</v>
      </c>
      <c r="J196" s="39">
        <f t="shared" si="75"/>
        <v>162100</v>
      </c>
      <c r="K196" s="39">
        <f t="shared" si="75"/>
        <v>50000</v>
      </c>
      <c r="L196" s="39">
        <f t="shared" si="75"/>
        <v>139000</v>
      </c>
      <c r="M196" s="39">
        <f t="shared" si="75"/>
        <v>80000</v>
      </c>
      <c r="N196" s="39">
        <f t="shared" si="75"/>
        <v>81250</v>
      </c>
      <c r="O196" s="39">
        <f t="shared" si="75"/>
        <v>95000</v>
      </c>
      <c r="P196" s="39">
        <f t="shared" si="75"/>
        <v>170550</v>
      </c>
      <c r="Q196" s="39">
        <f t="shared" si="75"/>
        <v>102300</v>
      </c>
      <c r="R196" s="39">
        <f t="shared" si="75"/>
        <v>200000</v>
      </c>
      <c r="S196" s="39">
        <f t="shared" si="75"/>
        <v>150000</v>
      </c>
      <c r="T196" s="39">
        <f t="shared" si="75"/>
        <v>237600</v>
      </c>
      <c r="U196" s="24">
        <f>I196+J196+K196+L196+M196+N196+O196+P196+Q196+R196+S196+T196</f>
        <v>1475500</v>
      </c>
      <c r="V196" s="21">
        <f t="shared" si="69"/>
        <v>1475500</v>
      </c>
    </row>
    <row r="197" spans="1:22" ht="12.75">
      <c r="A197" s="42"/>
      <c r="B197" s="66"/>
      <c r="C197" s="123"/>
      <c r="D197" s="123"/>
      <c r="E197" s="123"/>
      <c r="F197" s="123"/>
      <c r="G197" s="44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24"/>
      <c r="V197" s="21">
        <f t="shared" si="69"/>
        <v>0</v>
      </c>
    </row>
    <row r="198" spans="1:22" ht="75" customHeight="1">
      <c r="A198" s="5" t="s">
        <v>42</v>
      </c>
      <c r="B198" s="35" t="s">
        <v>144</v>
      </c>
      <c r="C198" s="148" t="s">
        <v>25</v>
      </c>
      <c r="D198" s="161">
        <v>6470000000</v>
      </c>
      <c r="E198" s="161"/>
      <c r="F198" s="161"/>
      <c r="G198" s="37"/>
      <c r="H198" s="39">
        <f aca="true" t="shared" si="76" ref="H198:T198">H199+H200+H201+H202</f>
        <v>1275500</v>
      </c>
      <c r="I198" s="39">
        <f t="shared" si="76"/>
        <v>7700</v>
      </c>
      <c r="J198" s="39">
        <f t="shared" si="76"/>
        <v>49700</v>
      </c>
      <c r="K198" s="39">
        <f t="shared" si="76"/>
        <v>50000</v>
      </c>
      <c r="L198" s="39">
        <f t="shared" si="76"/>
        <v>89000</v>
      </c>
      <c r="M198" s="39">
        <f t="shared" si="76"/>
        <v>80000</v>
      </c>
      <c r="N198" s="39">
        <f t="shared" si="76"/>
        <v>81250</v>
      </c>
      <c r="O198" s="39">
        <f t="shared" si="76"/>
        <v>95000</v>
      </c>
      <c r="P198" s="39">
        <f t="shared" si="76"/>
        <v>170550</v>
      </c>
      <c r="Q198" s="39">
        <f t="shared" si="76"/>
        <v>102300</v>
      </c>
      <c r="R198" s="39">
        <f t="shared" si="76"/>
        <v>200000</v>
      </c>
      <c r="S198" s="39">
        <f t="shared" si="76"/>
        <v>150000</v>
      </c>
      <c r="T198" s="39">
        <f t="shared" si="76"/>
        <v>200000</v>
      </c>
      <c r="U198" s="24">
        <f aca="true" t="shared" si="77" ref="U198:U223">I198+J198+K198+L198+M198+N198+O198+P198+Q198+R198+S198+T198</f>
        <v>1275500</v>
      </c>
      <c r="V198" s="21">
        <f t="shared" si="69"/>
        <v>1275500</v>
      </c>
    </row>
    <row r="199" spans="1:22" ht="25.5">
      <c r="A199" s="5" t="s">
        <v>42</v>
      </c>
      <c r="B199" s="72" t="s">
        <v>71</v>
      </c>
      <c r="C199" s="164" t="s">
        <v>25</v>
      </c>
      <c r="D199" s="162">
        <v>6470110240</v>
      </c>
      <c r="E199" s="162">
        <v>244</v>
      </c>
      <c r="F199" s="162">
        <v>225</v>
      </c>
      <c r="G199" s="44"/>
      <c r="H199" s="52">
        <f>1305500-30000</f>
        <v>1275500</v>
      </c>
      <c r="I199" s="78">
        <f>0+7700</f>
        <v>7700</v>
      </c>
      <c r="J199" s="78">
        <v>49700</v>
      </c>
      <c r="K199" s="78">
        <f>80000-30000</f>
        <v>50000</v>
      </c>
      <c r="L199" s="78">
        <v>89000</v>
      </c>
      <c r="M199" s="78">
        <v>80000</v>
      </c>
      <c r="N199" s="78">
        <v>81250</v>
      </c>
      <c r="O199" s="78">
        <v>95000</v>
      </c>
      <c r="P199" s="78">
        <f>125000-45550+91100</f>
        <v>170550</v>
      </c>
      <c r="Q199" s="78">
        <f>110000-7700</f>
        <v>102300</v>
      </c>
      <c r="R199" s="78">
        <v>200000</v>
      </c>
      <c r="S199" s="78">
        <v>150000</v>
      </c>
      <c r="T199" s="78">
        <v>200000</v>
      </c>
      <c r="U199" s="24">
        <f t="shared" si="77"/>
        <v>1275500</v>
      </c>
      <c r="V199" s="21">
        <f t="shared" si="69"/>
        <v>1275500</v>
      </c>
    </row>
    <row r="200" spans="1:22" ht="12.75" hidden="1">
      <c r="A200" s="5"/>
      <c r="B200" s="72"/>
      <c r="C200" s="128" t="s">
        <v>25</v>
      </c>
      <c r="D200" s="127">
        <v>6470160020</v>
      </c>
      <c r="E200" s="127">
        <v>244</v>
      </c>
      <c r="F200" s="127">
        <v>225</v>
      </c>
      <c r="G200" s="44"/>
      <c r="H200" s="52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24">
        <f t="shared" si="77"/>
        <v>0</v>
      </c>
      <c r="V200" s="21">
        <f t="shared" si="69"/>
        <v>0</v>
      </c>
    </row>
    <row r="201" spans="1:22" ht="12.75" hidden="1">
      <c r="A201" s="5"/>
      <c r="B201" s="72"/>
      <c r="C201" s="128" t="s">
        <v>25</v>
      </c>
      <c r="D201" s="127">
        <v>6470160050</v>
      </c>
      <c r="E201" s="127">
        <v>244</v>
      </c>
      <c r="F201" s="127">
        <v>225</v>
      </c>
      <c r="G201" s="44"/>
      <c r="H201" s="52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  <c r="U201" s="24">
        <f t="shared" si="77"/>
        <v>0</v>
      </c>
      <c r="V201" s="21">
        <f t="shared" si="69"/>
        <v>0</v>
      </c>
    </row>
    <row r="202" spans="1:22" ht="12.75" hidden="1">
      <c r="A202" s="5"/>
      <c r="B202" s="72"/>
      <c r="C202" s="128" t="s">
        <v>25</v>
      </c>
      <c r="D202" s="127">
        <v>6470160170</v>
      </c>
      <c r="E202" s="127">
        <v>244</v>
      </c>
      <c r="F202" s="127">
        <v>225</v>
      </c>
      <c r="G202" s="44"/>
      <c r="H202" s="52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24">
        <f t="shared" si="77"/>
        <v>0</v>
      </c>
      <c r="V202" s="21">
        <f t="shared" si="69"/>
        <v>0</v>
      </c>
    </row>
    <row r="203" spans="1:22" ht="12.75">
      <c r="A203" s="5"/>
      <c r="B203" s="72"/>
      <c r="C203" s="128"/>
      <c r="D203" s="127"/>
      <c r="E203" s="127"/>
      <c r="F203" s="127"/>
      <c r="G203" s="44"/>
      <c r="H203" s="5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24">
        <f t="shared" si="77"/>
        <v>0</v>
      </c>
      <c r="V203" s="21">
        <f t="shared" si="69"/>
        <v>0</v>
      </c>
    </row>
    <row r="204" spans="1:22" ht="80.25" customHeight="1">
      <c r="A204" s="5" t="s">
        <v>42</v>
      </c>
      <c r="B204" s="35" t="s">
        <v>145</v>
      </c>
      <c r="C204" s="148" t="s">
        <v>25</v>
      </c>
      <c r="D204" s="161">
        <v>6480110350</v>
      </c>
      <c r="E204" s="161"/>
      <c r="F204" s="161"/>
      <c r="G204" s="37"/>
      <c r="H204" s="39">
        <f aca="true" t="shared" si="78" ref="H204:T204">H205</f>
        <v>200000</v>
      </c>
      <c r="I204" s="39">
        <f t="shared" si="78"/>
        <v>0</v>
      </c>
      <c r="J204" s="39">
        <f t="shared" si="78"/>
        <v>112400</v>
      </c>
      <c r="K204" s="39">
        <f t="shared" si="78"/>
        <v>0</v>
      </c>
      <c r="L204" s="39">
        <f t="shared" si="78"/>
        <v>50000</v>
      </c>
      <c r="M204" s="39">
        <f t="shared" si="78"/>
        <v>0</v>
      </c>
      <c r="N204" s="39">
        <f t="shared" si="78"/>
        <v>0</v>
      </c>
      <c r="O204" s="39">
        <f t="shared" si="78"/>
        <v>0</v>
      </c>
      <c r="P204" s="39">
        <f t="shared" si="78"/>
        <v>0</v>
      </c>
      <c r="Q204" s="39">
        <f t="shared" si="78"/>
        <v>0</v>
      </c>
      <c r="R204" s="39">
        <f t="shared" si="78"/>
        <v>0</v>
      </c>
      <c r="S204" s="39">
        <f t="shared" si="78"/>
        <v>0</v>
      </c>
      <c r="T204" s="39">
        <f t="shared" si="78"/>
        <v>37600</v>
      </c>
      <c r="U204" s="24">
        <f t="shared" si="77"/>
        <v>200000</v>
      </c>
      <c r="V204" s="21">
        <f t="shared" si="69"/>
        <v>200000</v>
      </c>
    </row>
    <row r="205" spans="1:22" ht="16.5" customHeight="1">
      <c r="A205" s="5" t="s">
        <v>42</v>
      </c>
      <c r="B205" s="47" t="s">
        <v>15</v>
      </c>
      <c r="C205" s="164" t="s">
        <v>25</v>
      </c>
      <c r="D205" s="162">
        <v>6480110350</v>
      </c>
      <c r="E205" s="162">
        <v>244</v>
      </c>
      <c r="F205" s="162">
        <v>225</v>
      </c>
      <c r="G205" s="44"/>
      <c r="H205" s="78">
        <f>300000-100000</f>
        <v>200000</v>
      </c>
      <c r="I205" s="78">
        <v>0</v>
      </c>
      <c r="J205" s="78">
        <f>0+112400</f>
        <v>112400</v>
      </c>
      <c r="K205" s="78">
        <v>0</v>
      </c>
      <c r="L205" s="78">
        <v>50000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f>150000-100000-12400</f>
        <v>37600</v>
      </c>
      <c r="U205" s="24">
        <f t="shared" si="77"/>
        <v>200000</v>
      </c>
      <c r="V205" s="21">
        <f t="shared" si="69"/>
        <v>200000</v>
      </c>
    </row>
    <row r="206" spans="1:22" ht="12.75">
      <c r="A206" s="5"/>
      <c r="B206" s="68"/>
      <c r="C206" s="128"/>
      <c r="D206" s="127"/>
      <c r="E206" s="127"/>
      <c r="F206" s="127"/>
      <c r="G206" s="44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24">
        <f t="shared" si="77"/>
        <v>0</v>
      </c>
      <c r="V206" s="21">
        <f t="shared" si="69"/>
        <v>0</v>
      </c>
    </row>
    <row r="207" spans="1:22" ht="81" customHeight="1">
      <c r="A207" s="42" t="s">
        <v>42</v>
      </c>
      <c r="B207" s="35" t="s">
        <v>146</v>
      </c>
      <c r="C207" s="148" t="s">
        <v>25</v>
      </c>
      <c r="D207" s="161">
        <v>6700110360</v>
      </c>
      <c r="E207" s="161"/>
      <c r="F207" s="161"/>
      <c r="G207" s="37"/>
      <c r="H207" s="39">
        <f aca="true" t="shared" si="79" ref="H207:T207">H208</f>
        <v>30000</v>
      </c>
      <c r="I207" s="39">
        <f t="shared" si="79"/>
        <v>0</v>
      </c>
      <c r="J207" s="39">
        <f t="shared" si="79"/>
        <v>0</v>
      </c>
      <c r="K207" s="39">
        <f t="shared" si="79"/>
        <v>0</v>
      </c>
      <c r="L207" s="39">
        <f t="shared" si="79"/>
        <v>0</v>
      </c>
      <c r="M207" s="39">
        <f t="shared" si="79"/>
        <v>0</v>
      </c>
      <c r="N207" s="39">
        <f t="shared" si="79"/>
        <v>0</v>
      </c>
      <c r="O207" s="39">
        <f t="shared" si="79"/>
        <v>0</v>
      </c>
      <c r="P207" s="39">
        <f t="shared" si="79"/>
        <v>0</v>
      </c>
      <c r="Q207" s="39">
        <f t="shared" si="79"/>
        <v>0</v>
      </c>
      <c r="R207" s="39">
        <f t="shared" si="79"/>
        <v>0</v>
      </c>
      <c r="S207" s="39">
        <f t="shared" si="79"/>
        <v>0</v>
      </c>
      <c r="T207" s="39">
        <f t="shared" si="79"/>
        <v>30000</v>
      </c>
      <c r="U207" s="24">
        <f t="shared" si="77"/>
        <v>30000</v>
      </c>
      <c r="V207" s="21">
        <f t="shared" si="69"/>
        <v>30000</v>
      </c>
    </row>
    <row r="208" spans="1:22" ht="12.75">
      <c r="A208" s="5" t="s">
        <v>42</v>
      </c>
      <c r="B208" s="47" t="s">
        <v>15</v>
      </c>
      <c r="C208" s="164" t="s">
        <v>25</v>
      </c>
      <c r="D208" s="162">
        <v>6700110360</v>
      </c>
      <c r="E208" s="162">
        <v>244</v>
      </c>
      <c r="F208" s="162">
        <v>226</v>
      </c>
      <c r="G208" s="44"/>
      <c r="H208" s="78">
        <v>30000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30000</v>
      </c>
      <c r="U208" s="24">
        <f t="shared" si="77"/>
        <v>30000</v>
      </c>
      <c r="V208" s="21">
        <f t="shared" si="69"/>
        <v>30000</v>
      </c>
    </row>
    <row r="209" spans="1:22" ht="12.75">
      <c r="A209" s="5"/>
      <c r="B209" s="68"/>
      <c r="C209" s="128"/>
      <c r="D209" s="127"/>
      <c r="E209" s="127"/>
      <c r="F209" s="127"/>
      <c r="G209" s="44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24">
        <f t="shared" si="77"/>
        <v>0</v>
      </c>
      <c r="V209" s="21">
        <f t="shared" si="69"/>
        <v>0</v>
      </c>
    </row>
    <row r="210" spans="1:22" ht="76.5">
      <c r="A210" s="5"/>
      <c r="B210" s="108" t="s">
        <v>107</v>
      </c>
      <c r="C210" s="148" t="s">
        <v>25</v>
      </c>
      <c r="D210" s="161">
        <v>6800110370</v>
      </c>
      <c r="E210" s="160"/>
      <c r="F210" s="160"/>
      <c r="G210" s="37"/>
      <c r="H210" s="39">
        <f aca="true" t="shared" si="80" ref="H210:T210">H211</f>
        <v>135000</v>
      </c>
      <c r="I210" s="39">
        <f t="shared" si="80"/>
        <v>0</v>
      </c>
      <c r="J210" s="39">
        <f t="shared" si="80"/>
        <v>134159.55</v>
      </c>
      <c r="K210" s="39">
        <f t="shared" si="80"/>
        <v>0</v>
      </c>
      <c r="L210" s="39">
        <f t="shared" si="80"/>
        <v>0</v>
      </c>
      <c r="M210" s="39">
        <f t="shared" si="80"/>
        <v>0</v>
      </c>
      <c r="N210" s="39">
        <f t="shared" si="80"/>
        <v>0</v>
      </c>
      <c r="O210" s="39">
        <f t="shared" si="80"/>
        <v>0</v>
      </c>
      <c r="P210" s="39">
        <f t="shared" si="80"/>
        <v>0</v>
      </c>
      <c r="Q210" s="39">
        <f t="shared" si="80"/>
        <v>0</v>
      </c>
      <c r="R210" s="39">
        <f t="shared" si="80"/>
        <v>0</v>
      </c>
      <c r="S210" s="39">
        <f t="shared" si="80"/>
        <v>0</v>
      </c>
      <c r="T210" s="39">
        <f t="shared" si="80"/>
        <v>840.45</v>
      </c>
      <c r="U210" s="24">
        <f t="shared" si="77"/>
        <v>135000</v>
      </c>
      <c r="V210" s="21">
        <f aca="true" t="shared" si="81" ref="V210:V241">SUM(I210:T210)</f>
        <v>135000</v>
      </c>
    </row>
    <row r="211" spans="1:22" ht="12.75">
      <c r="A211" s="5" t="s">
        <v>42</v>
      </c>
      <c r="B211" s="47" t="s">
        <v>15</v>
      </c>
      <c r="C211" s="164" t="s">
        <v>25</v>
      </c>
      <c r="D211" s="162">
        <v>6800110370</v>
      </c>
      <c r="E211" s="162">
        <v>244</v>
      </c>
      <c r="F211" s="162">
        <v>226</v>
      </c>
      <c r="G211" s="44"/>
      <c r="H211" s="78">
        <f>100000+5000+30000</f>
        <v>135000</v>
      </c>
      <c r="I211" s="78">
        <v>0</v>
      </c>
      <c r="J211" s="78">
        <f>0+134159.55</f>
        <v>134159.55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840.45</v>
      </c>
      <c r="U211" s="24">
        <f t="shared" si="77"/>
        <v>135000</v>
      </c>
      <c r="V211" s="21">
        <f t="shared" si="81"/>
        <v>135000</v>
      </c>
    </row>
    <row r="212" spans="1:22" ht="12.75">
      <c r="A212" s="5"/>
      <c r="B212" s="68"/>
      <c r="C212" s="128"/>
      <c r="D212" s="127"/>
      <c r="E212" s="127"/>
      <c r="F212" s="127"/>
      <c r="G212" s="44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24">
        <f t="shared" si="77"/>
        <v>0</v>
      </c>
      <c r="V212" s="21">
        <f t="shared" si="81"/>
        <v>0</v>
      </c>
    </row>
    <row r="213" spans="1:22" ht="12.75" hidden="1">
      <c r="A213" s="5"/>
      <c r="B213" s="68"/>
      <c r="C213" s="128"/>
      <c r="D213" s="127"/>
      <c r="E213" s="127"/>
      <c r="F213" s="127"/>
      <c r="G213" s="44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24">
        <f t="shared" si="77"/>
        <v>0</v>
      </c>
      <c r="V213" s="21">
        <f t="shared" si="81"/>
        <v>0</v>
      </c>
    </row>
    <row r="214" spans="1:22" ht="12.75" hidden="1">
      <c r="A214" s="5"/>
      <c r="B214" s="68"/>
      <c r="C214" s="128"/>
      <c r="D214" s="127"/>
      <c r="E214" s="127"/>
      <c r="F214" s="127"/>
      <c r="G214" s="44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24">
        <f t="shared" si="77"/>
        <v>0</v>
      </c>
      <c r="V214" s="21">
        <f t="shared" si="81"/>
        <v>0</v>
      </c>
    </row>
    <row r="215" spans="1:22" ht="12.75" hidden="1">
      <c r="A215" s="5"/>
      <c r="B215" s="68"/>
      <c r="C215" s="128"/>
      <c r="D215" s="127"/>
      <c r="E215" s="127"/>
      <c r="F215" s="127"/>
      <c r="G215" s="44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24">
        <f t="shared" si="77"/>
        <v>0</v>
      </c>
      <c r="V215" s="21">
        <f t="shared" si="81"/>
        <v>0</v>
      </c>
    </row>
    <row r="216" spans="1:22" ht="12.75" hidden="1">
      <c r="A216" s="5"/>
      <c r="B216" s="68"/>
      <c r="C216" s="128"/>
      <c r="D216" s="127"/>
      <c r="E216" s="127"/>
      <c r="F216" s="127"/>
      <c r="G216" s="44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24">
        <f t="shared" si="77"/>
        <v>0</v>
      </c>
      <c r="V216" s="21">
        <f t="shared" si="81"/>
        <v>0</v>
      </c>
    </row>
    <row r="217" spans="1:22" ht="12.75" hidden="1">
      <c r="A217" s="5"/>
      <c r="B217" s="68"/>
      <c r="C217" s="128"/>
      <c r="D217" s="127"/>
      <c r="E217" s="127"/>
      <c r="F217" s="127"/>
      <c r="G217" s="44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24">
        <f t="shared" si="77"/>
        <v>0</v>
      </c>
      <c r="V217" s="21">
        <f t="shared" si="81"/>
        <v>0</v>
      </c>
    </row>
    <row r="218" spans="1:22" ht="12.75" hidden="1">
      <c r="A218" s="5"/>
      <c r="B218" s="68"/>
      <c r="C218" s="128"/>
      <c r="D218" s="127"/>
      <c r="E218" s="127"/>
      <c r="F218" s="127"/>
      <c r="G218" s="44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24">
        <f t="shared" si="77"/>
        <v>0</v>
      </c>
      <c r="V218" s="21">
        <f t="shared" si="81"/>
        <v>0</v>
      </c>
    </row>
    <row r="219" spans="1:22" ht="12.75" hidden="1">
      <c r="A219" s="5"/>
      <c r="B219" s="68"/>
      <c r="C219" s="128"/>
      <c r="D219" s="127"/>
      <c r="E219" s="127"/>
      <c r="F219" s="127"/>
      <c r="G219" s="44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24">
        <f t="shared" si="77"/>
        <v>0</v>
      </c>
      <c r="V219" s="21">
        <f t="shared" si="81"/>
        <v>0</v>
      </c>
    </row>
    <row r="220" spans="1:22" ht="12.75" hidden="1">
      <c r="A220" s="5"/>
      <c r="B220" s="68"/>
      <c r="C220" s="128"/>
      <c r="D220" s="127"/>
      <c r="E220" s="127"/>
      <c r="F220" s="127"/>
      <c r="G220" s="44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24">
        <f t="shared" si="77"/>
        <v>0</v>
      </c>
      <c r="V220" s="21">
        <f t="shared" si="81"/>
        <v>0</v>
      </c>
    </row>
    <row r="221" spans="1:22" ht="12.75" hidden="1">
      <c r="A221" s="5"/>
      <c r="B221" s="68"/>
      <c r="C221" s="128"/>
      <c r="D221" s="127"/>
      <c r="E221" s="127"/>
      <c r="F221" s="127"/>
      <c r="G221" s="44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24">
        <f t="shared" si="77"/>
        <v>0</v>
      </c>
      <c r="V221" s="21">
        <f t="shared" si="81"/>
        <v>0</v>
      </c>
    </row>
    <row r="222" spans="1:22" ht="12.75" hidden="1">
      <c r="A222" s="42"/>
      <c r="B222" s="66"/>
      <c r="C222" s="123"/>
      <c r="D222" s="123"/>
      <c r="E222" s="123"/>
      <c r="F222" s="123"/>
      <c r="G222" s="44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24">
        <f t="shared" si="77"/>
        <v>0</v>
      </c>
      <c r="V222" s="21">
        <f t="shared" si="81"/>
        <v>0</v>
      </c>
    </row>
    <row r="223" spans="1:22" ht="12.75">
      <c r="A223" s="42"/>
      <c r="B223" s="29" t="s">
        <v>53</v>
      </c>
      <c r="C223" s="180" t="s">
        <v>25</v>
      </c>
      <c r="D223" s="123"/>
      <c r="E223" s="123"/>
      <c r="F223" s="123"/>
      <c r="G223" s="44"/>
      <c r="H223" s="74">
        <f aca="true" t="shared" si="82" ref="H223:T223">H196+H207+H210</f>
        <v>1640500</v>
      </c>
      <c r="I223" s="75">
        <f t="shared" si="82"/>
        <v>7700</v>
      </c>
      <c r="J223" s="75">
        <f t="shared" si="82"/>
        <v>296259.55</v>
      </c>
      <c r="K223" s="75">
        <f t="shared" si="82"/>
        <v>50000</v>
      </c>
      <c r="L223" s="75">
        <f t="shared" si="82"/>
        <v>139000</v>
      </c>
      <c r="M223" s="75">
        <f t="shared" si="82"/>
        <v>80000</v>
      </c>
      <c r="N223" s="75">
        <f t="shared" si="82"/>
        <v>81250</v>
      </c>
      <c r="O223" s="75">
        <f t="shared" si="82"/>
        <v>95000</v>
      </c>
      <c r="P223" s="75">
        <f t="shared" si="82"/>
        <v>170550</v>
      </c>
      <c r="Q223" s="75">
        <f t="shared" si="82"/>
        <v>102300</v>
      </c>
      <c r="R223" s="75">
        <f t="shared" si="82"/>
        <v>200000</v>
      </c>
      <c r="S223" s="75">
        <f t="shared" si="82"/>
        <v>150000</v>
      </c>
      <c r="T223" s="75">
        <f t="shared" si="82"/>
        <v>268440.45</v>
      </c>
      <c r="U223" s="24">
        <f t="shared" si="77"/>
        <v>1640500</v>
      </c>
      <c r="V223" s="21">
        <f t="shared" si="81"/>
        <v>1640500</v>
      </c>
    </row>
    <row r="224" spans="1:22" ht="12.75">
      <c r="A224" s="42"/>
      <c r="B224" s="66"/>
      <c r="C224" s="123"/>
      <c r="D224" s="123"/>
      <c r="E224" s="123"/>
      <c r="F224" s="123"/>
      <c r="G224" s="44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24"/>
      <c r="V224" s="21">
        <f t="shared" si="81"/>
        <v>0</v>
      </c>
    </row>
    <row r="225" spans="1:22" ht="12.75">
      <c r="A225" s="53"/>
      <c r="B225" s="54" t="s">
        <v>74</v>
      </c>
      <c r="C225" s="139"/>
      <c r="D225" s="139"/>
      <c r="E225" s="139"/>
      <c r="F225" s="139"/>
      <c r="G225" s="79"/>
      <c r="H225" s="80">
        <f aca="true" t="shared" si="83" ref="H225:T225">H223+H194</f>
        <v>14339590.73</v>
      </c>
      <c r="I225" s="80">
        <f t="shared" si="83"/>
        <v>15316.33</v>
      </c>
      <c r="J225" s="80">
        <f t="shared" si="83"/>
        <v>296259.55</v>
      </c>
      <c r="K225" s="80">
        <f t="shared" si="83"/>
        <v>56400</v>
      </c>
      <c r="L225" s="80">
        <f t="shared" si="83"/>
        <v>145400</v>
      </c>
      <c r="M225" s="80">
        <f t="shared" si="83"/>
        <v>136400</v>
      </c>
      <c r="N225" s="80">
        <f t="shared" si="83"/>
        <v>111433.67</v>
      </c>
      <c r="O225" s="80">
        <f t="shared" si="83"/>
        <v>117800</v>
      </c>
      <c r="P225" s="80">
        <f t="shared" si="83"/>
        <v>176950</v>
      </c>
      <c r="Q225" s="80">
        <f t="shared" si="83"/>
        <v>108700</v>
      </c>
      <c r="R225" s="80">
        <f t="shared" si="83"/>
        <v>256400</v>
      </c>
      <c r="S225" s="80">
        <f t="shared" si="83"/>
        <v>12628800</v>
      </c>
      <c r="T225" s="80">
        <f t="shared" si="83"/>
        <v>289731.18</v>
      </c>
      <c r="U225" s="24">
        <f>I225+J225+K225+L225+M225+N225+O225+P225+Q225+R225+S225+T225</f>
        <v>14339590.73</v>
      </c>
      <c r="V225" s="199">
        <f t="shared" si="81"/>
        <v>14339590.73</v>
      </c>
    </row>
    <row r="226" spans="1:22" ht="12.75">
      <c r="A226" s="42"/>
      <c r="B226" s="66"/>
      <c r="C226" s="123"/>
      <c r="D226" s="123"/>
      <c r="E226" s="123"/>
      <c r="F226" s="123"/>
      <c r="G226" s="44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24"/>
      <c r="V226" s="21">
        <f t="shared" si="81"/>
        <v>0</v>
      </c>
    </row>
    <row r="227" spans="1:22" ht="69.75" customHeight="1">
      <c r="A227" s="5" t="s">
        <v>42</v>
      </c>
      <c r="B227" s="35" t="s">
        <v>147</v>
      </c>
      <c r="C227" s="148" t="s">
        <v>75</v>
      </c>
      <c r="D227" s="161">
        <v>6500000000</v>
      </c>
      <c r="E227" s="161"/>
      <c r="F227" s="161"/>
      <c r="G227" s="37"/>
      <c r="H227" s="39">
        <f aca="true" t="shared" si="84" ref="H227:T227">H228+H229+H230+H231+H232</f>
        <v>105200</v>
      </c>
      <c r="I227" s="39">
        <f t="shared" si="84"/>
        <v>9200</v>
      </c>
      <c r="J227" s="39">
        <f t="shared" si="84"/>
        <v>0</v>
      </c>
      <c r="K227" s="39">
        <f t="shared" si="84"/>
        <v>7000</v>
      </c>
      <c r="L227" s="39">
        <f t="shared" si="84"/>
        <v>9200</v>
      </c>
      <c r="M227" s="39">
        <f t="shared" si="84"/>
        <v>9200</v>
      </c>
      <c r="N227" s="39">
        <f t="shared" si="84"/>
        <v>7000</v>
      </c>
      <c r="O227" s="39">
        <f t="shared" si="84"/>
        <v>7000</v>
      </c>
      <c r="P227" s="39">
        <f t="shared" si="84"/>
        <v>9200</v>
      </c>
      <c r="Q227" s="39">
        <f t="shared" si="84"/>
        <v>9200</v>
      </c>
      <c r="R227" s="39">
        <f t="shared" si="84"/>
        <v>9400</v>
      </c>
      <c r="S227" s="39">
        <f t="shared" si="84"/>
        <v>16400</v>
      </c>
      <c r="T227" s="39">
        <f t="shared" si="84"/>
        <v>12400</v>
      </c>
      <c r="U227" s="24">
        <f aca="true" t="shared" si="85" ref="U227:U232">I227+J227+K227+L227+M227+N227+O227+P227+Q227+R227+S227+T227</f>
        <v>105200</v>
      </c>
      <c r="V227" s="21">
        <f t="shared" si="81"/>
        <v>105200</v>
      </c>
    </row>
    <row r="228" spans="1:22" ht="12.75" hidden="1">
      <c r="A228" s="5" t="s">
        <v>42</v>
      </c>
      <c r="B228" s="3" t="s">
        <v>7</v>
      </c>
      <c r="C228" s="201" t="s">
        <v>75</v>
      </c>
      <c r="D228" s="162">
        <v>6510110250</v>
      </c>
      <c r="E228" s="162">
        <v>611</v>
      </c>
      <c r="F228" s="162">
        <v>211</v>
      </c>
      <c r="G228" s="50"/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  <c r="Q228" s="78">
        <v>0</v>
      </c>
      <c r="R228" s="78">
        <v>0</v>
      </c>
      <c r="S228" s="78">
        <v>0</v>
      </c>
      <c r="T228" s="78">
        <v>0</v>
      </c>
      <c r="U228" s="24">
        <f t="shared" si="85"/>
        <v>0</v>
      </c>
      <c r="V228" s="21">
        <f t="shared" si="81"/>
        <v>0</v>
      </c>
    </row>
    <row r="229" spans="1:22" ht="12.75" hidden="1">
      <c r="A229" s="5" t="s">
        <v>42</v>
      </c>
      <c r="B229" s="3" t="s">
        <v>9</v>
      </c>
      <c r="C229" s="201" t="s">
        <v>75</v>
      </c>
      <c r="D229" s="162">
        <v>6510110250</v>
      </c>
      <c r="E229" s="162">
        <v>611</v>
      </c>
      <c r="F229" s="162">
        <v>213</v>
      </c>
      <c r="G229" s="50"/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24">
        <f t="shared" si="85"/>
        <v>0</v>
      </c>
      <c r="V229" s="21">
        <f t="shared" si="81"/>
        <v>0</v>
      </c>
    </row>
    <row r="230" spans="1:22" ht="25.5">
      <c r="A230" s="83" t="s">
        <v>42</v>
      </c>
      <c r="B230" s="3" t="s">
        <v>7</v>
      </c>
      <c r="C230" s="201" t="s">
        <v>75</v>
      </c>
      <c r="D230" s="162">
        <v>6510110250</v>
      </c>
      <c r="E230" s="162">
        <v>611</v>
      </c>
      <c r="F230" s="162">
        <v>211</v>
      </c>
      <c r="G230" s="82" t="s">
        <v>76</v>
      </c>
      <c r="H230" s="78">
        <v>65400</v>
      </c>
      <c r="I230" s="78">
        <v>5400</v>
      </c>
      <c r="J230" s="78">
        <v>0</v>
      </c>
      <c r="K230" s="78">
        <v>5400</v>
      </c>
      <c r="L230" s="78">
        <v>5400</v>
      </c>
      <c r="M230" s="78">
        <v>5400</v>
      </c>
      <c r="N230" s="78">
        <v>5400</v>
      </c>
      <c r="O230" s="78">
        <v>5400</v>
      </c>
      <c r="P230" s="78">
        <v>5400</v>
      </c>
      <c r="Q230" s="78">
        <v>5400</v>
      </c>
      <c r="R230" s="78">
        <v>5400</v>
      </c>
      <c r="S230" s="78">
        <f>5400+5400</f>
        <v>10800</v>
      </c>
      <c r="T230" s="78">
        <v>6000</v>
      </c>
      <c r="U230" s="24">
        <f t="shared" si="85"/>
        <v>65400</v>
      </c>
      <c r="V230" s="21">
        <f t="shared" si="81"/>
        <v>65400</v>
      </c>
    </row>
    <row r="231" spans="1:22" ht="25.5">
      <c r="A231" s="83" t="s">
        <v>42</v>
      </c>
      <c r="B231" s="3" t="s">
        <v>9</v>
      </c>
      <c r="C231" s="201" t="s">
        <v>75</v>
      </c>
      <c r="D231" s="162">
        <v>6510110250</v>
      </c>
      <c r="E231" s="162">
        <v>611</v>
      </c>
      <c r="F231" s="162">
        <v>213</v>
      </c>
      <c r="G231" s="82" t="s">
        <v>76</v>
      </c>
      <c r="H231" s="78">
        <v>19800</v>
      </c>
      <c r="I231" s="78">
        <v>1600</v>
      </c>
      <c r="J231" s="78">
        <v>0</v>
      </c>
      <c r="K231" s="78">
        <v>1600</v>
      </c>
      <c r="L231" s="78">
        <v>1600</v>
      </c>
      <c r="M231" s="78">
        <v>1600</v>
      </c>
      <c r="N231" s="78">
        <v>1600</v>
      </c>
      <c r="O231" s="78">
        <v>1600</v>
      </c>
      <c r="P231" s="78">
        <v>1600</v>
      </c>
      <c r="Q231" s="78">
        <v>1600</v>
      </c>
      <c r="R231" s="78">
        <v>1600</v>
      </c>
      <c r="S231" s="78">
        <f>1600+1600</f>
        <v>3200</v>
      </c>
      <c r="T231" s="78">
        <v>2200</v>
      </c>
      <c r="U231" s="24">
        <f t="shared" si="85"/>
        <v>19800</v>
      </c>
      <c r="V231" s="21">
        <f t="shared" si="81"/>
        <v>19800</v>
      </c>
    </row>
    <row r="232" spans="1:22" ht="12.75">
      <c r="A232" s="5" t="s">
        <v>42</v>
      </c>
      <c r="B232" s="72" t="s">
        <v>16</v>
      </c>
      <c r="C232" s="201" t="s">
        <v>75</v>
      </c>
      <c r="D232" s="162">
        <v>6510110250</v>
      </c>
      <c r="E232" s="162">
        <v>611</v>
      </c>
      <c r="F232" s="162">
        <v>290</v>
      </c>
      <c r="G232" s="50"/>
      <c r="H232" s="78">
        <v>20000</v>
      </c>
      <c r="I232" s="78">
        <v>2200</v>
      </c>
      <c r="J232" s="78">
        <v>0</v>
      </c>
      <c r="K232" s="78">
        <v>0</v>
      </c>
      <c r="L232" s="78">
        <v>2200</v>
      </c>
      <c r="M232" s="78">
        <v>2200</v>
      </c>
      <c r="N232" s="78">
        <v>0</v>
      </c>
      <c r="O232" s="78">
        <v>0</v>
      </c>
      <c r="P232" s="78">
        <v>2200</v>
      </c>
      <c r="Q232" s="78">
        <v>2200</v>
      </c>
      <c r="R232" s="78">
        <v>2400</v>
      </c>
      <c r="S232" s="78">
        <v>2400</v>
      </c>
      <c r="T232" s="78">
        <v>4200</v>
      </c>
      <c r="U232" s="24">
        <f t="shared" si="85"/>
        <v>20000</v>
      </c>
      <c r="V232" s="21">
        <f t="shared" si="81"/>
        <v>20000</v>
      </c>
    </row>
    <row r="233" spans="1:22" ht="12.75">
      <c r="A233" s="42"/>
      <c r="B233" s="66"/>
      <c r="C233" s="162"/>
      <c r="D233" s="162"/>
      <c r="E233" s="162"/>
      <c r="F233" s="162"/>
      <c r="G233" s="50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24"/>
      <c r="V233" s="21">
        <f t="shared" si="81"/>
        <v>0</v>
      </c>
    </row>
    <row r="234" spans="1:22" ht="12.75">
      <c r="A234" s="42"/>
      <c r="B234" s="29" t="s">
        <v>53</v>
      </c>
      <c r="C234" s="180" t="s">
        <v>75</v>
      </c>
      <c r="D234" s="162"/>
      <c r="E234" s="162"/>
      <c r="F234" s="162"/>
      <c r="G234" s="50"/>
      <c r="H234" s="74">
        <f aca="true" t="shared" si="86" ref="H234:T234">H227</f>
        <v>105200</v>
      </c>
      <c r="I234" s="75">
        <f t="shared" si="86"/>
        <v>9200</v>
      </c>
      <c r="J234" s="75">
        <f t="shared" si="86"/>
        <v>0</v>
      </c>
      <c r="K234" s="75">
        <f t="shared" si="86"/>
        <v>7000</v>
      </c>
      <c r="L234" s="75">
        <f t="shared" si="86"/>
        <v>9200</v>
      </c>
      <c r="M234" s="75">
        <f t="shared" si="86"/>
        <v>9200</v>
      </c>
      <c r="N234" s="75">
        <f t="shared" si="86"/>
        <v>7000</v>
      </c>
      <c r="O234" s="75">
        <f t="shared" si="86"/>
        <v>7000</v>
      </c>
      <c r="P234" s="75">
        <f t="shared" si="86"/>
        <v>9200</v>
      </c>
      <c r="Q234" s="75">
        <f t="shared" si="86"/>
        <v>9200</v>
      </c>
      <c r="R234" s="75">
        <f t="shared" si="86"/>
        <v>9400</v>
      </c>
      <c r="S234" s="75">
        <f t="shared" si="86"/>
        <v>16400</v>
      </c>
      <c r="T234" s="75">
        <f t="shared" si="86"/>
        <v>12400</v>
      </c>
      <c r="U234" s="24">
        <f>I234+J234+K234+L234+M234+N234+O234+P234+Q234+R234+S234+T234</f>
        <v>105200</v>
      </c>
      <c r="V234" s="21">
        <f t="shared" si="81"/>
        <v>105200</v>
      </c>
    </row>
    <row r="235" spans="1:22" ht="12.75">
      <c r="A235" s="42"/>
      <c r="B235" s="66"/>
      <c r="C235" s="127"/>
      <c r="D235" s="127"/>
      <c r="E235" s="127"/>
      <c r="F235" s="127"/>
      <c r="G235" s="50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24"/>
      <c r="V235" s="21">
        <f t="shared" si="81"/>
        <v>0</v>
      </c>
    </row>
    <row r="236" spans="1:22" ht="12.75">
      <c r="A236" s="53"/>
      <c r="B236" s="54" t="s">
        <v>77</v>
      </c>
      <c r="C236" s="140"/>
      <c r="D236" s="140"/>
      <c r="E236" s="140"/>
      <c r="F236" s="140"/>
      <c r="G236" s="84"/>
      <c r="H236" s="80">
        <f aca="true" t="shared" si="87" ref="H236:T236">H234</f>
        <v>105200</v>
      </c>
      <c r="I236" s="80">
        <f t="shared" si="87"/>
        <v>9200</v>
      </c>
      <c r="J236" s="80">
        <f t="shared" si="87"/>
        <v>0</v>
      </c>
      <c r="K236" s="80">
        <f t="shared" si="87"/>
        <v>7000</v>
      </c>
      <c r="L236" s="80">
        <f t="shared" si="87"/>
        <v>9200</v>
      </c>
      <c r="M236" s="80">
        <f t="shared" si="87"/>
        <v>9200</v>
      </c>
      <c r="N236" s="80">
        <f t="shared" si="87"/>
        <v>7000</v>
      </c>
      <c r="O236" s="80">
        <f t="shared" si="87"/>
        <v>7000</v>
      </c>
      <c r="P236" s="80">
        <f t="shared" si="87"/>
        <v>9200</v>
      </c>
      <c r="Q236" s="80">
        <f t="shared" si="87"/>
        <v>9200</v>
      </c>
      <c r="R236" s="80">
        <f t="shared" si="87"/>
        <v>9400</v>
      </c>
      <c r="S236" s="80">
        <f t="shared" si="87"/>
        <v>16400</v>
      </c>
      <c r="T236" s="80">
        <f t="shared" si="87"/>
        <v>12400</v>
      </c>
      <c r="U236" s="24">
        <f>I236+J236+K236+L236+M236+N236+O236+P236+Q236+R236+S236+T236</f>
        <v>105200</v>
      </c>
      <c r="V236" s="199">
        <f t="shared" si="81"/>
        <v>105200</v>
      </c>
    </row>
    <row r="237" spans="1:22" ht="12.75">
      <c r="A237" s="42"/>
      <c r="B237" s="66"/>
      <c r="C237" s="127"/>
      <c r="D237" s="127"/>
      <c r="E237" s="127"/>
      <c r="F237" s="127"/>
      <c r="G237" s="50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24"/>
      <c r="V237" s="21">
        <f t="shared" si="81"/>
        <v>0</v>
      </c>
    </row>
    <row r="238" spans="1:22" ht="66.75" customHeight="1">
      <c r="A238" s="5" t="s">
        <v>42</v>
      </c>
      <c r="B238" s="35" t="s">
        <v>148</v>
      </c>
      <c r="C238" s="148" t="s">
        <v>26</v>
      </c>
      <c r="D238" s="161">
        <v>8200000000</v>
      </c>
      <c r="E238" s="117"/>
      <c r="F238" s="117"/>
      <c r="G238" s="37"/>
      <c r="H238" s="39">
        <f aca="true" t="shared" si="88" ref="H238:T238">H240+H243+H271+H286</f>
        <v>12249900</v>
      </c>
      <c r="I238" s="39">
        <f t="shared" si="88"/>
        <v>995900</v>
      </c>
      <c r="J238" s="39">
        <f t="shared" si="88"/>
        <v>845190</v>
      </c>
      <c r="K238" s="39">
        <f t="shared" si="88"/>
        <v>973290</v>
      </c>
      <c r="L238" s="39">
        <f t="shared" si="88"/>
        <v>1031890</v>
      </c>
      <c r="M238" s="39">
        <f t="shared" si="88"/>
        <v>952790</v>
      </c>
      <c r="N238" s="39">
        <f t="shared" si="88"/>
        <v>914650</v>
      </c>
      <c r="O238" s="39">
        <f t="shared" si="88"/>
        <v>978790</v>
      </c>
      <c r="P238" s="39">
        <f t="shared" si="88"/>
        <v>928790</v>
      </c>
      <c r="Q238" s="39">
        <f t="shared" si="88"/>
        <v>957690</v>
      </c>
      <c r="R238" s="39">
        <f t="shared" si="88"/>
        <v>1121630</v>
      </c>
      <c r="S238" s="39">
        <f t="shared" si="88"/>
        <v>1247390</v>
      </c>
      <c r="T238" s="39">
        <f t="shared" si="88"/>
        <v>1301900</v>
      </c>
      <c r="U238" s="24">
        <f>I238+J238+K238+L238+M238+N238+O238+P238+Q238+R238+S238+T238</f>
        <v>12249900</v>
      </c>
      <c r="V238" s="21">
        <f t="shared" si="81"/>
        <v>12249900</v>
      </c>
    </row>
    <row r="239" spans="1:22" ht="12.75">
      <c r="A239" s="42"/>
      <c r="B239" s="66"/>
      <c r="C239" s="123"/>
      <c r="D239" s="123"/>
      <c r="E239" s="123"/>
      <c r="F239" s="123"/>
      <c r="G239" s="44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24"/>
      <c r="V239" s="21">
        <f t="shared" si="81"/>
        <v>0</v>
      </c>
    </row>
    <row r="240" spans="1:22" ht="38.25">
      <c r="A240" s="5" t="s">
        <v>42</v>
      </c>
      <c r="B240" s="35" t="s">
        <v>149</v>
      </c>
      <c r="C240" s="148" t="s">
        <v>26</v>
      </c>
      <c r="D240" s="161">
        <v>8210000000</v>
      </c>
      <c r="E240" s="161"/>
      <c r="F240" s="161"/>
      <c r="G240" s="37"/>
      <c r="H240" s="39">
        <f aca="true" t="shared" si="89" ref="H240:T240">H241</f>
        <v>50000</v>
      </c>
      <c r="I240" s="39">
        <f t="shared" si="89"/>
        <v>0</v>
      </c>
      <c r="J240" s="39">
        <f t="shared" si="89"/>
        <v>0</v>
      </c>
      <c r="K240" s="39">
        <f t="shared" si="89"/>
        <v>0</v>
      </c>
      <c r="L240" s="39">
        <f t="shared" si="89"/>
        <v>0</v>
      </c>
      <c r="M240" s="39">
        <f t="shared" si="89"/>
        <v>0</v>
      </c>
      <c r="N240" s="39">
        <f t="shared" si="89"/>
        <v>0</v>
      </c>
      <c r="O240" s="39">
        <f t="shared" si="89"/>
        <v>0</v>
      </c>
      <c r="P240" s="39">
        <f t="shared" si="89"/>
        <v>0</v>
      </c>
      <c r="Q240" s="39">
        <f t="shared" si="89"/>
        <v>0</v>
      </c>
      <c r="R240" s="39">
        <f t="shared" si="89"/>
        <v>0</v>
      </c>
      <c r="S240" s="39">
        <f t="shared" si="89"/>
        <v>0</v>
      </c>
      <c r="T240" s="39">
        <f t="shared" si="89"/>
        <v>50000</v>
      </c>
      <c r="U240" s="24">
        <f>I240+J240+K240+L240+M240+N240+O240+P240+Q240+R240+S240+T240</f>
        <v>50000</v>
      </c>
      <c r="V240" s="21">
        <f t="shared" si="81"/>
        <v>50000</v>
      </c>
    </row>
    <row r="241" spans="1:22" ht="12.75">
      <c r="A241" s="5" t="s">
        <v>42</v>
      </c>
      <c r="B241" s="72" t="s">
        <v>16</v>
      </c>
      <c r="C241" s="164" t="s">
        <v>26</v>
      </c>
      <c r="D241" s="162">
        <v>8210100260</v>
      </c>
      <c r="E241" s="162">
        <v>611</v>
      </c>
      <c r="F241" s="162">
        <v>290</v>
      </c>
      <c r="G241" s="50"/>
      <c r="H241" s="78">
        <v>50000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78">
        <v>0</v>
      </c>
      <c r="Q241" s="78">
        <v>0</v>
      </c>
      <c r="R241" s="78">
        <v>0</v>
      </c>
      <c r="S241" s="78">
        <v>0</v>
      </c>
      <c r="T241" s="78">
        <v>50000</v>
      </c>
      <c r="U241" s="24">
        <f>I241+J241+K241+L241+M241+N241+O241+P241+Q241+R241+S241+T241</f>
        <v>50000</v>
      </c>
      <c r="V241" s="21">
        <f t="shared" si="81"/>
        <v>50000</v>
      </c>
    </row>
    <row r="242" spans="1:22" ht="12.75">
      <c r="A242" s="42"/>
      <c r="B242" s="66"/>
      <c r="C242" s="127"/>
      <c r="D242" s="127"/>
      <c r="E242" s="127"/>
      <c r="F242" s="127"/>
      <c r="G242" s="50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24"/>
      <c r="V242" s="21">
        <f aca="true" t="shared" si="90" ref="V242:V273">SUM(I242:T242)</f>
        <v>0</v>
      </c>
    </row>
    <row r="243" spans="1:22" ht="89.25">
      <c r="A243" s="5" t="s">
        <v>42</v>
      </c>
      <c r="B243" s="35" t="s">
        <v>150</v>
      </c>
      <c r="C243" s="148" t="s">
        <v>26</v>
      </c>
      <c r="D243" s="161">
        <v>8220000000</v>
      </c>
      <c r="E243" s="117"/>
      <c r="F243" s="117"/>
      <c r="G243" s="37"/>
      <c r="H243" s="39">
        <f aca="true" t="shared" si="91" ref="H243:T243">H244+H245+H246+H247+H248+H249+H250+H251+H252+H254+H255+H256+H257+H258+H259+H260+H261+H262+H263+H264+H266+H267+H253+H265+H268+H269</f>
        <v>8326500</v>
      </c>
      <c r="I243" s="39">
        <f t="shared" si="91"/>
        <v>677700</v>
      </c>
      <c r="J243" s="39">
        <f t="shared" si="91"/>
        <v>653890</v>
      </c>
      <c r="K243" s="39">
        <f t="shared" si="91"/>
        <v>667190</v>
      </c>
      <c r="L243" s="39">
        <f t="shared" si="91"/>
        <v>722790</v>
      </c>
      <c r="M243" s="39">
        <f t="shared" si="91"/>
        <v>633690</v>
      </c>
      <c r="N243" s="39">
        <f t="shared" si="91"/>
        <v>615550</v>
      </c>
      <c r="O243" s="39">
        <f t="shared" si="91"/>
        <v>670190</v>
      </c>
      <c r="P243" s="39">
        <f t="shared" si="91"/>
        <v>619690</v>
      </c>
      <c r="Q243" s="39">
        <f t="shared" si="91"/>
        <v>648590</v>
      </c>
      <c r="R243" s="39">
        <f t="shared" si="91"/>
        <v>750130</v>
      </c>
      <c r="S243" s="39">
        <f t="shared" si="91"/>
        <v>797490</v>
      </c>
      <c r="T243" s="39">
        <f t="shared" si="91"/>
        <v>869600</v>
      </c>
      <c r="U243" s="24">
        <f aca="true" t="shared" si="92" ref="U243:U269">I243+J243+K243+L243+M243+N243+O243+P243+Q243+R243+S243+T243</f>
        <v>8326500</v>
      </c>
      <c r="V243" s="21">
        <f t="shared" si="90"/>
        <v>8326500</v>
      </c>
    </row>
    <row r="244" spans="1:22" ht="25.5">
      <c r="A244" s="5" t="s">
        <v>42</v>
      </c>
      <c r="B244" s="3" t="s">
        <v>7</v>
      </c>
      <c r="C244" s="164" t="s">
        <v>26</v>
      </c>
      <c r="D244" s="162">
        <v>8220100270</v>
      </c>
      <c r="E244" s="162">
        <v>611</v>
      </c>
      <c r="F244" s="162">
        <v>211</v>
      </c>
      <c r="G244" s="87" t="s">
        <v>108</v>
      </c>
      <c r="H244" s="78">
        <v>5537600</v>
      </c>
      <c r="I244" s="78">
        <v>461100</v>
      </c>
      <c r="J244" s="78">
        <v>461500</v>
      </c>
      <c r="K244" s="78">
        <v>461500</v>
      </c>
      <c r="L244" s="78">
        <v>461500</v>
      </c>
      <c r="M244" s="78">
        <v>461500</v>
      </c>
      <c r="N244" s="78">
        <v>461500</v>
      </c>
      <c r="O244" s="78">
        <v>461500</v>
      </c>
      <c r="P244" s="78">
        <v>461500</v>
      </c>
      <c r="Q244" s="78">
        <v>461500</v>
      </c>
      <c r="R244" s="78">
        <v>461500</v>
      </c>
      <c r="S244" s="78">
        <v>461500</v>
      </c>
      <c r="T244" s="78">
        <v>461500</v>
      </c>
      <c r="U244" s="24">
        <f t="shared" si="92"/>
        <v>5537600</v>
      </c>
      <c r="V244" s="21">
        <f t="shared" si="90"/>
        <v>5537600</v>
      </c>
    </row>
    <row r="245" spans="1:22" ht="25.5">
      <c r="A245" s="5" t="s">
        <v>42</v>
      </c>
      <c r="B245" s="3" t="s">
        <v>9</v>
      </c>
      <c r="C245" s="164" t="s">
        <v>26</v>
      </c>
      <c r="D245" s="162">
        <v>8220100270</v>
      </c>
      <c r="E245" s="162">
        <v>611</v>
      </c>
      <c r="F245" s="162">
        <v>213</v>
      </c>
      <c r="G245" s="87" t="s">
        <v>108</v>
      </c>
      <c r="H245" s="78">
        <v>1672400</v>
      </c>
      <c r="I245" s="78">
        <v>139000</v>
      </c>
      <c r="J245" s="78">
        <v>139400</v>
      </c>
      <c r="K245" s="78">
        <v>139400</v>
      </c>
      <c r="L245" s="78">
        <v>139400</v>
      </c>
      <c r="M245" s="78">
        <v>139400</v>
      </c>
      <c r="N245" s="78">
        <v>139400</v>
      </c>
      <c r="O245" s="78">
        <v>139400</v>
      </c>
      <c r="P245" s="78">
        <v>139400</v>
      </c>
      <c r="Q245" s="78">
        <v>139400</v>
      </c>
      <c r="R245" s="78">
        <v>139400</v>
      </c>
      <c r="S245" s="78">
        <v>139400</v>
      </c>
      <c r="T245" s="78">
        <v>139400</v>
      </c>
      <c r="U245" s="24">
        <f t="shared" si="92"/>
        <v>1672400</v>
      </c>
      <c r="V245" s="21">
        <f t="shared" si="90"/>
        <v>1672400</v>
      </c>
    </row>
    <row r="246" spans="1:22" ht="12.75">
      <c r="A246" s="5" t="s">
        <v>42</v>
      </c>
      <c r="B246" s="3" t="s">
        <v>12</v>
      </c>
      <c r="C246" s="164" t="s">
        <v>26</v>
      </c>
      <c r="D246" s="162">
        <v>8220100270</v>
      </c>
      <c r="E246" s="162">
        <v>611</v>
      </c>
      <c r="F246" s="162">
        <v>221</v>
      </c>
      <c r="G246" s="85" t="s">
        <v>82</v>
      </c>
      <c r="H246" s="78">
        <v>24400</v>
      </c>
      <c r="I246" s="78">
        <v>2000</v>
      </c>
      <c r="J246" s="78">
        <v>2000</v>
      </c>
      <c r="K246" s="78">
        <v>2000</v>
      </c>
      <c r="L246" s="78">
        <v>2000</v>
      </c>
      <c r="M246" s="78">
        <v>2000</v>
      </c>
      <c r="N246" s="78">
        <v>2000</v>
      </c>
      <c r="O246" s="78">
        <v>2000</v>
      </c>
      <c r="P246" s="78">
        <v>2000</v>
      </c>
      <c r="Q246" s="78">
        <v>2000</v>
      </c>
      <c r="R246" s="78">
        <v>2000</v>
      </c>
      <c r="S246" s="78">
        <v>2000</v>
      </c>
      <c r="T246" s="78">
        <v>2400</v>
      </c>
      <c r="U246" s="24">
        <f t="shared" si="92"/>
        <v>24400</v>
      </c>
      <c r="V246" s="21">
        <f t="shared" si="90"/>
        <v>24400</v>
      </c>
    </row>
    <row r="247" spans="1:22" ht="12.75">
      <c r="A247" s="5" t="s">
        <v>42</v>
      </c>
      <c r="B247" s="3" t="s">
        <v>12</v>
      </c>
      <c r="C247" s="164" t="s">
        <v>26</v>
      </c>
      <c r="D247" s="162">
        <v>8220100270</v>
      </c>
      <c r="E247" s="162">
        <v>611</v>
      </c>
      <c r="F247" s="162">
        <v>221</v>
      </c>
      <c r="G247" s="85" t="s">
        <v>83</v>
      </c>
      <c r="H247" s="78">
        <v>10600</v>
      </c>
      <c r="I247" s="78">
        <v>800</v>
      </c>
      <c r="J247" s="78">
        <v>890</v>
      </c>
      <c r="K247" s="78">
        <v>890</v>
      </c>
      <c r="L247" s="78">
        <v>890</v>
      </c>
      <c r="M247" s="78">
        <v>890</v>
      </c>
      <c r="N247" s="78">
        <v>890</v>
      </c>
      <c r="O247" s="78">
        <v>890</v>
      </c>
      <c r="P247" s="78">
        <v>890</v>
      </c>
      <c r="Q247" s="78">
        <v>890</v>
      </c>
      <c r="R247" s="78">
        <v>890</v>
      </c>
      <c r="S247" s="78">
        <v>890</v>
      </c>
      <c r="T247" s="78">
        <v>900</v>
      </c>
      <c r="U247" s="24">
        <f t="shared" si="92"/>
        <v>10600</v>
      </c>
      <c r="V247" s="21">
        <f t="shared" si="90"/>
        <v>10600</v>
      </c>
    </row>
    <row r="248" spans="1:22" ht="12.75">
      <c r="A248" s="5" t="s">
        <v>42</v>
      </c>
      <c r="B248" s="3" t="s">
        <v>13</v>
      </c>
      <c r="C248" s="164" t="s">
        <v>26</v>
      </c>
      <c r="D248" s="162">
        <v>8220100270</v>
      </c>
      <c r="E248" s="162">
        <v>611</v>
      </c>
      <c r="F248" s="162">
        <v>223</v>
      </c>
      <c r="G248" s="87" t="s">
        <v>84</v>
      </c>
      <c r="H248" s="78">
        <v>121300</v>
      </c>
      <c r="I248" s="78">
        <v>10000</v>
      </c>
      <c r="J248" s="78">
        <v>15000</v>
      </c>
      <c r="K248" s="78">
        <v>10000</v>
      </c>
      <c r="L248" s="78">
        <v>10000</v>
      </c>
      <c r="M248" s="78">
        <v>8000</v>
      </c>
      <c r="N248" s="78">
        <v>3060</v>
      </c>
      <c r="O248" s="78">
        <v>5000</v>
      </c>
      <c r="P248" s="78">
        <v>5000</v>
      </c>
      <c r="Q248" s="78">
        <v>10000</v>
      </c>
      <c r="R248" s="78">
        <v>15140</v>
      </c>
      <c r="S248" s="78">
        <v>15000</v>
      </c>
      <c r="T248" s="78">
        <v>15100</v>
      </c>
      <c r="U248" s="24">
        <f t="shared" si="92"/>
        <v>121300</v>
      </c>
      <c r="V248" s="21">
        <f t="shared" si="90"/>
        <v>121300</v>
      </c>
    </row>
    <row r="249" spans="1:22" ht="12.75">
      <c r="A249" s="5" t="s">
        <v>42</v>
      </c>
      <c r="B249" s="3" t="s">
        <v>13</v>
      </c>
      <c r="C249" s="164" t="s">
        <v>26</v>
      </c>
      <c r="D249" s="162">
        <v>8220100270</v>
      </c>
      <c r="E249" s="162">
        <v>611</v>
      </c>
      <c r="F249" s="162">
        <v>223</v>
      </c>
      <c r="G249" s="87" t="s">
        <v>85</v>
      </c>
      <c r="H249" s="78">
        <v>13000</v>
      </c>
      <c r="I249" s="78">
        <v>900</v>
      </c>
      <c r="J249" s="78">
        <v>900</v>
      </c>
      <c r="K249" s="78">
        <v>900</v>
      </c>
      <c r="L249" s="78">
        <v>900</v>
      </c>
      <c r="M249" s="78">
        <v>1000</v>
      </c>
      <c r="N249" s="78">
        <v>1600</v>
      </c>
      <c r="O249" s="78">
        <v>1600</v>
      </c>
      <c r="P249" s="78">
        <v>1500</v>
      </c>
      <c r="Q249" s="78">
        <v>1000</v>
      </c>
      <c r="R249" s="78">
        <v>900</v>
      </c>
      <c r="S249" s="78">
        <v>900</v>
      </c>
      <c r="T249" s="78">
        <v>900</v>
      </c>
      <c r="U249" s="24">
        <f t="shared" si="92"/>
        <v>13000</v>
      </c>
      <c r="V249" s="21">
        <f t="shared" si="90"/>
        <v>13000</v>
      </c>
    </row>
    <row r="250" spans="1:22" ht="25.5">
      <c r="A250" s="83" t="s">
        <v>42</v>
      </c>
      <c r="B250" s="3" t="s">
        <v>13</v>
      </c>
      <c r="C250" s="164" t="s">
        <v>26</v>
      </c>
      <c r="D250" s="162">
        <v>8220100270</v>
      </c>
      <c r="E250" s="162">
        <v>611</v>
      </c>
      <c r="F250" s="162">
        <v>223</v>
      </c>
      <c r="G250" s="87" t="s">
        <v>81</v>
      </c>
      <c r="H250" s="78">
        <v>379000</v>
      </c>
      <c r="I250" s="78">
        <v>50000</v>
      </c>
      <c r="J250" s="78">
        <v>20000</v>
      </c>
      <c r="K250" s="78">
        <v>41200</v>
      </c>
      <c r="L250" s="78">
        <v>30000</v>
      </c>
      <c r="M250" s="78">
        <v>0</v>
      </c>
      <c r="N250" s="78">
        <v>0</v>
      </c>
      <c r="O250" s="78">
        <v>0</v>
      </c>
      <c r="P250" s="78">
        <v>0</v>
      </c>
      <c r="Q250" s="78">
        <v>0</v>
      </c>
      <c r="R250" s="78">
        <v>30000</v>
      </c>
      <c r="S250" s="78">
        <v>101400</v>
      </c>
      <c r="T250" s="78">
        <v>106400</v>
      </c>
      <c r="U250" s="24">
        <f t="shared" si="92"/>
        <v>379000</v>
      </c>
      <c r="V250" s="21">
        <f t="shared" si="90"/>
        <v>379000</v>
      </c>
    </row>
    <row r="251" spans="1:22" ht="25.5">
      <c r="A251" s="5" t="s">
        <v>42</v>
      </c>
      <c r="B251" s="72" t="s">
        <v>71</v>
      </c>
      <c r="C251" s="164" t="s">
        <v>26</v>
      </c>
      <c r="D251" s="162">
        <v>8220100270</v>
      </c>
      <c r="E251" s="162">
        <v>611</v>
      </c>
      <c r="F251" s="162">
        <v>225</v>
      </c>
      <c r="G251" s="87" t="s">
        <v>48</v>
      </c>
      <c r="H251" s="78">
        <v>58000</v>
      </c>
      <c r="I251" s="78">
        <v>0</v>
      </c>
      <c r="J251" s="78">
        <v>0</v>
      </c>
      <c r="K251" s="78">
        <v>0</v>
      </c>
      <c r="L251" s="78">
        <v>17000</v>
      </c>
      <c r="M251" s="78">
        <v>6500</v>
      </c>
      <c r="N251" s="78">
        <v>0</v>
      </c>
      <c r="O251" s="78">
        <v>0</v>
      </c>
      <c r="P251" s="78">
        <v>0</v>
      </c>
      <c r="Q251" s="78">
        <v>0</v>
      </c>
      <c r="R251" s="78">
        <v>26600</v>
      </c>
      <c r="S251" s="78">
        <v>7900</v>
      </c>
      <c r="T251" s="78">
        <v>0</v>
      </c>
      <c r="U251" s="24">
        <f t="shared" si="92"/>
        <v>58000</v>
      </c>
      <c r="V251" s="21">
        <f t="shared" si="90"/>
        <v>58000</v>
      </c>
    </row>
    <row r="252" spans="1:22" ht="12.75" hidden="1">
      <c r="A252" s="5" t="s">
        <v>42</v>
      </c>
      <c r="B252" s="3" t="s">
        <v>15</v>
      </c>
      <c r="C252" s="128" t="s">
        <v>26</v>
      </c>
      <c r="D252" s="127">
        <v>8220100270</v>
      </c>
      <c r="E252" s="127">
        <v>611</v>
      </c>
      <c r="F252" s="113">
        <v>226</v>
      </c>
      <c r="G252" s="87" t="s">
        <v>48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24">
        <f t="shared" si="92"/>
        <v>0</v>
      </c>
      <c r="V252" s="21">
        <f t="shared" si="90"/>
        <v>0</v>
      </c>
    </row>
    <row r="253" spans="1:22" ht="12.75">
      <c r="A253" s="5" t="s">
        <v>42</v>
      </c>
      <c r="B253" s="3" t="s">
        <v>16</v>
      </c>
      <c r="C253" s="164" t="s">
        <v>26</v>
      </c>
      <c r="D253" s="162">
        <v>8220100270</v>
      </c>
      <c r="E253" s="162">
        <v>611</v>
      </c>
      <c r="F253" s="144">
        <v>290</v>
      </c>
      <c r="G253" s="87" t="s">
        <v>89</v>
      </c>
      <c r="H253" s="78">
        <v>113300</v>
      </c>
      <c r="I253" s="78">
        <v>0</v>
      </c>
      <c r="J253" s="78">
        <v>0</v>
      </c>
      <c r="K253" s="78">
        <v>0</v>
      </c>
      <c r="L253" s="78">
        <v>28300</v>
      </c>
      <c r="M253" s="78">
        <v>0</v>
      </c>
      <c r="N253" s="78">
        <v>0</v>
      </c>
      <c r="O253" s="78">
        <v>25000</v>
      </c>
      <c r="P253" s="78">
        <v>0</v>
      </c>
      <c r="Q253" s="78">
        <v>0</v>
      </c>
      <c r="R253" s="78">
        <v>25000</v>
      </c>
      <c r="S253" s="78">
        <v>0</v>
      </c>
      <c r="T253" s="78">
        <v>35000</v>
      </c>
      <c r="U253" s="24">
        <f t="shared" si="92"/>
        <v>113300</v>
      </c>
      <c r="V253" s="21">
        <f t="shared" si="90"/>
        <v>113300</v>
      </c>
    </row>
    <row r="254" spans="1:22" ht="12.75" hidden="1">
      <c r="A254" s="5" t="s">
        <v>42</v>
      </c>
      <c r="B254" s="3" t="s">
        <v>17</v>
      </c>
      <c r="C254" s="128" t="s">
        <v>26</v>
      </c>
      <c r="D254" s="127">
        <v>8220100270</v>
      </c>
      <c r="E254" s="127">
        <v>611</v>
      </c>
      <c r="F254" s="113">
        <v>340</v>
      </c>
      <c r="G254" s="87" t="s">
        <v>48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24">
        <f t="shared" si="92"/>
        <v>0</v>
      </c>
      <c r="V254" s="21">
        <f t="shared" si="90"/>
        <v>0</v>
      </c>
    </row>
    <row r="255" spans="1:22" ht="12.75" hidden="1">
      <c r="A255" s="5" t="s">
        <v>42</v>
      </c>
      <c r="B255" s="3" t="s">
        <v>18</v>
      </c>
      <c r="C255" s="128" t="s">
        <v>26</v>
      </c>
      <c r="D255" s="127">
        <v>8220100270</v>
      </c>
      <c r="E255" s="127">
        <v>611</v>
      </c>
      <c r="F255" s="113">
        <v>310</v>
      </c>
      <c r="G255" s="87" t="s">
        <v>48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78">
        <v>0</v>
      </c>
      <c r="Q255" s="78">
        <v>0</v>
      </c>
      <c r="R255" s="78">
        <v>0</v>
      </c>
      <c r="S255" s="78">
        <v>0</v>
      </c>
      <c r="T255" s="78">
        <v>0</v>
      </c>
      <c r="U255" s="24">
        <f t="shared" si="92"/>
        <v>0</v>
      </c>
      <c r="V255" s="21">
        <f t="shared" si="90"/>
        <v>0</v>
      </c>
    </row>
    <row r="256" spans="1:22" ht="12.75" hidden="1">
      <c r="A256" s="5" t="s">
        <v>42</v>
      </c>
      <c r="B256" s="3" t="s">
        <v>7</v>
      </c>
      <c r="C256" s="128" t="s">
        <v>26</v>
      </c>
      <c r="D256" s="127">
        <v>8220100270</v>
      </c>
      <c r="E256" s="127">
        <v>611</v>
      </c>
      <c r="F256" s="127">
        <v>211</v>
      </c>
      <c r="G256" s="85" t="s">
        <v>78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24">
        <f t="shared" si="92"/>
        <v>0</v>
      </c>
      <c r="V256" s="21">
        <f t="shared" si="90"/>
        <v>0</v>
      </c>
    </row>
    <row r="257" spans="1:22" ht="12.75" hidden="1">
      <c r="A257" s="5" t="s">
        <v>42</v>
      </c>
      <c r="B257" s="3" t="s">
        <v>9</v>
      </c>
      <c r="C257" s="128" t="s">
        <v>26</v>
      </c>
      <c r="D257" s="127">
        <v>8220100270</v>
      </c>
      <c r="E257" s="127">
        <v>611</v>
      </c>
      <c r="F257" s="127">
        <v>213</v>
      </c>
      <c r="G257" s="85" t="s">
        <v>78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  <c r="Q257" s="78">
        <v>0</v>
      </c>
      <c r="R257" s="78">
        <v>0</v>
      </c>
      <c r="S257" s="78">
        <v>0</v>
      </c>
      <c r="T257" s="78">
        <v>0</v>
      </c>
      <c r="U257" s="24">
        <f t="shared" si="92"/>
        <v>0</v>
      </c>
      <c r="V257" s="21">
        <f t="shared" si="90"/>
        <v>0</v>
      </c>
    </row>
    <row r="258" spans="1:22" ht="25.5">
      <c r="A258" s="83" t="s">
        <v>42</v>
      </c>
      <c r="B258" s="3" t="s">
        <v>12</v>
      </c>
      <c r="C258" s="164" t="s">
        <v>26</v>
      </c>
      <c r="D258" s="162">
        <v>8220100270</v>
      </c>
      <c r="E258" s="162">
        <v>611</v>
      </c>
      <c r="F258" s="162">
        <v>221</v>
      </c>
      <c r="G258" s="87" t="s">
        <v>79</v>
      </c>
      <c r="H258" s="78">
        <v>51400</v>
      </c>
      <c r="I258" s="78">
        <v>4000</v>
      </c>
      <c r="J258" s="78">
        <v>4300</v>
      </c>
      <c r="K258" s="78">
        <v>4300</v>
      </c>
      <c r="L258" s="78">
        <v>4300</v>
      </c>
      <c r="M258" s="78">
        <v>4300</v>
      </c>
      <c r="N258" s="78">
        <v>4300</v>
      </c>
      <c r="O258" s="78">
        <v>4300</v>
      </c>
      <c r="P258" s="78">
        <v>4300</v>
      </c>
      <c r="Q258" s="78">
        <v>4300</v>
      </c>
      <c r="R258" s="78">
        <v>4300</v>
      </c>
      <c r="S258" s="78">
        <v>4300</v>
      </c>
      <c r="T258" s="78">
        <v>4400</v>
      </c>
      <c r="U258" s="24">
        <f t="shared" si="92"/>
        <v>51400</v>
      </c>
      <c r="V258" s="21">
        <f t="shared" si="90"/>
        <v>51400</v>
      </c>
    </row>
    <row r="259" spans="1:22" ht="25.5">
      <c r="A259" s="83" t="s">
        <v>42</v>
      </c>
      <c r="B259" s="3" t="s">
        <v>12</v>
      </c>
      <c r="C259" s="164" t="s">
        <v>26</v>
      </c>
      <c r="D259" s="162">
        <v>8220100270</v>
      </c>
      <c r="E259" s="162">
        <v>611</v>
      </c>
      <c r="F259" s="162">
        <v>221</v>
      </c>
      <c r="G259" s="87" t="s">
        <v>80</v>
      </c>
      <c r="H259" s="78">
        <v>7200</v>
      </c>
      <c r="I259" s="78">
        <v>600</v>
      </c>
      <c r="J259" s="78">
        <v>600</v>
      </c>
      <c r="K259" s="78">
        <v>600</v>
      </c>
      <c r="L259" s="78">
        <v>600</v>
      </c>
      <c r="M259" s="78">
        <v>600</v>
      </c>
      <c r="N259" s="78">
        <v>600</v>
      </c>
      <c r="O259" s="78">
        <v>600</v>
      </c>
      <c r="P259" s="78">
        <v>600</v>
      </c>
      <c r="Q259" s="78">
        <v>600</v>
      </c>
      <c r="R259" s="78">
        <v>600</v>
      </c>
      <c r="S259" s="78">
        <v>600</v>
      </c>
      <c r="T259" s="78">
        <v>600</v>
      </c>
      <c r="U259" s="24">
        <f t="shared" si="92"/>
        <v>7200</v>
      </c>
      <c r="V259" s="21">
        <f t="shared" si="90"/>
        <v>7200</v>
      </c>
    </row>
    <row r="260" spans="1:22" ht="25.5">
      <c r="A260" s="5" t="s">
        <v>42</v>
      </c>
      <c r="B260" s="3" t="s">
        <v>13</v>
      </c>
      <c r="C260" s="164" t="s">
        <v>26</v>
      </c>
      <c r="D260" s="162">
        <v>8220100270</v>
      </c>
      <c r="E260" s="162">
        <v>611</v>
      </c>
      <c r="F260" s="162">
        <v>223</v>
      </c>
      <c r="G260" s="87" t="s">
        <v>86</v>
      </c>
      <c r="H260" s="78">
        <v>54700</v>
      </c>
      <c r="I260" s="78">
        <v>5000</v>
      </c>
      <c r="J260" s="78">
        <v>5000</v>
      </c>
      <c r="K260" s="78">
        <v>3000</v>
      </c>
      <c r="L260" s="78">
        <v>3000</v>
      </c>
      <c r="M260" s="78">
        <v>3000</v>
      </c>
      <c r="N260" s="78">
        <v>1700</v>
      </c>
      <c r="O260" s="78">
        <v>4000</v>
      </c>
      <c r="P260" s="78">
        <v>4000</v>
      </c>
      <c r="Q260" s="78">
        <v>4000</v>
      </c>
      <c r="R260" s="78">
        <v>5000</v>
      </c>
      <c r="S260" s="78">
        <v>8500</v>
      </c>
      <c r="T260" s="78">
        <v>8500</v>
      </c>
      <c r="U260" s="24">
        <f t="shared" si="92"/>
        <v>54700</v>
      </c>
      <c r="V260" s="21">
        <f t="shared" si="90"/>
        <v>54700</v>
      </c>
    </row>
    <row r="261" spans="1:22" ht="25.5">
      <c r="A261" s="5" t="s">
        <v>42</v>
      </c>
      <c r="B261" s="3" t="s">
        <v>13</v>
      </c>
      <c r="C261" s="164" t="s">
        <v>26</v>
      </c>
      <c r="D261" s="162">
        <v>8220100270</v>
      </c>
      <c r="E261" s="162">
        <v>611</v>
      </c>
      <c r="F261" s="162">
        <v>223</v>
      </c>
      <c r="G261" s="87" t="s">
        <v>87</v>
      </c>
      <c r="H261" s="78">
        <v>5000</v>
      </c>
      <c r="I261" s="78">
        <v>300</v>
      </c>
      <c r="J261" s="78">
        <v>300</v>
      </c>
      <c r="K261" s="78">
        <v>400</v>
      </c>
      <c r="L261" s="78">
        <v>400</v>
      </c>
      <c r="M261" s="78">
        <v>500</v>
      </c>
      <c r="N261" s="78">
        <v>500</v>
      </c>
      <c r="O261" s="78">
        <v>500</v>
      </c>
      <c r="P261" s="78">
        <v>500</v>
      </c>
      <c r="Q261" s="78">
        <v>400</v>
      </c>
      <c r="R261" s="78">
        <v>400</v>
      </c>
      <c r="S261" s="78">
        <v>400</v>
      </c>
      <c r="T261" s="78">
        <v>400</v>
      </c>
      <c r="U261" s="24">
        <f t="shared" si="92"/>
        <v>5000</v>
      </c>
      <c r="V261" s="21">
        <f t="shared" si="90"/>
        <v>5000</v>
      </c>
    </row>
    <row r="262" spans="1:22" ht="25.5">
      <c r="A262" s="5" t="s">
        <v>42</v>
      </c>
      <c r="B262" s="3" t="s">
        <v>13</v>
      </c>
      <c r="C262" s="164" t="s">
        <v>26</v>
      </c>
      <c r="D262" s="162">
        <v>8220100270</v>
      </c>
      <c r="E262" s="162">
        <v>611</v>
      </c>
      <c r="F262" s="162">
        <v>223</v>
      </c>
      <c r="G262" s="87" t="s">
        <v>88</v>
      </c>
      <c r="H262" s="78">
        <v>27000</v>
      </c>
      <c r="I262" s="78">
        <v>4000</v>
      </c>
      <c r="J262" s="78">
        <v>4000</v>
      </c>
      <c r="K262" s="78">
        <v>3000</v>
      </c>
      <c r="L262" s="78">
        <v>3000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3000</v>
      </c>
      <c r="S262" s="78">
        <v>4000</v>
      </c>
      <c r="T262" s="78">
        <v>6000</v>
      </c>
      <c r="U262" s="24">
        <f t="shared" si="92"/>
        <v>27000</v>
      </c>
      <c r="V262" s="21">
        <f t="shared" si="90"/>
        <v>27000</v>
      </c>
    </row>
    <row r="263" spans="1:22" ht="25.5" hidden="1">
      <c r="A263" s="5" t="s">
        <v>42</v>
      </c>
      <c r="B263" s="72" t="s">
        <v>71</v>
      </c>
      <c r="C263" s="164" t="s">
        <v>26</v>
      </c>
      <c r="D263" s="162">
        <v>8220100270</v>
      </c>
      <c r="E263" s="162">
        <v>611</v>
      </c>
      <c r="F263" s="162">
        <v>225</v>
      </c>
      <c r="G263" s="85" t="s">
        <v>78</v>
      </c>
      <c r="H263" s="78">
        <v>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78">
        <v>0</v>
      </c>
      <c r="R263" s="78">
        <v>0</v>
      </c>
      <c r="S263" s="78">
        <v>0</v>
      </c>
      <c r="T263" s="78">
        <v>0</v>
      </c>
      <c r="U263" s="24">
        <f t="shared" si="92"/>
        <v>0</v>
      </c>
      <c r="V263" s="21">
        <f t="shared" si="90"/>
        <v>0</v>
      </c>
    </row>
    <row r="264" spans="1:22" ht="17.25" customHeight="1">
      <c r="A264" s="5" t="s">
        <v>42</v>
      </c>
      <c r="B264" s="3" t="s">
        <v>15</v>
      </c>
      <c r="C264" s="164" t="s">
        <v>26</v>
      </c>
      <c r="D264" s="162">
        <v>8220100270</v>
      </c>
      <c r="E264" s="162">
        <v>611</v>
      </c>
      <c r="F264" s="144">
        <v>226</v>
      </c>
      <c r="G264" s="85" t="s">
        <v>78</v>
      </c>
      <c r="H264" s="78">
        <v>80000</v>
      </c>
      <c r="I264" s="78">
        <v>0</v>
      </c>
      <c r="J264" s="78">
        <v>0</v>
      </c>
      <c r="K264" s="78">
        <v>0</v>
      </c>
      <c r="L264" s="78">
        <v>5000</v>
      </c>
      <c r="M264" s="78">
        <v>6000</v>
      </c>
      <c r="N264" s="78">
        <v>0</v>
      </c>
      <c r="O264" s="78">
        <v>8900</v>
      </c>
      <c r="P264" s="78">
        <v>0</v>
      </c>
      <c r="Q264" s="78">
        <v>24500</v>
      </c>
      <c r="R264" s="78">
        <v>18900</v>
      </c>
      <c r="S264" s="78">
        <v>16700</v>
      </c>
      <c r="T264" s="78">
        <v>0</v>
      </c>
      <c r="U264" s="24">
        <f t="shared" si="92"/>
        <v>80000</v>
      </c>
      <c r="V264" s="21">
        <f t="shared" si="90"/>
        <v>80000</v>
      </c>
    </row>
    <row r="265" spans="1:22" ht="25.5">
      <c r="A265" s="5" t="s">
        <v>42</v>
      </c>
      <c r="B265" s="3" t="s">
        <v>16</v>
      </c>
      <c r="C265" s="164" t="s">
        <v>26</v>
      </c>
      <c r="D265" s="162">
        <v>8220100270</v>
      </c>
      <c r="E265" s="162">
        <v>611</v>
      </c>
      <c r="F265" s="153">
        <v>290</v>
      </c>
      <c r="G265" s="87" t="s">
        <v>90</v>
      </c>
      <c r="H265" s="78">
        <v>66600</v>
      </c>
      <c r="I265" s="78">
        <v>0</v>
      </c>
      <c r="J265" s="78">
        <v>0</v>
      </c>
      <c r="K265" s="78">
        <v>0</v>
      </c>
      <c r="L265" s="78">
        <v>16500</v>
      </c>
      <c r="M265" s="78">
        <v>0</v>
      </c>
      <c r="N265" s="78">
        <v>0</v>
      </c>
      <c r="O265" s="78">
        <v>16500</v>
      </c>
      <c r="P265" s="78">
        <v>0</v>
      </c>
      <c r="Q265" s="78">
        <v>0</v>
      </c>
      <c r="R265" s="78">
        <v>16500</v>
      </c>
      <c r="S265" s="78">
        <v>0</v>
      </c>
      <c r="T265" s="78">
        <v>17100</v>
      </c>
      <c r="U265" s="24">
        <f t="shared" si="92"/>
        <v>66600</v>
      </c>
      <c r="V265" s="21">
        <f t="shared" si="90"/>
        <v>66600</v>
      </c>
    </row>
    <row r="266" spans="1:22" ht="16.5" customHeight="1">
      <c r="A266" s="5" t="s">
        <v>42</v>
      </c>
      <c r="B266" s="3" t="s">
        <v>17</v>
      </c>
      <c r="C266" s="164" t="s">
        <v>26</v>
      </c>
      <c r="D266" s="162">
        <v>8220100270</v>
      </c>
      <c r="E266" s="162">
        <v>611</v>
      </c>
      <c r="F266" s="153">
        <v>340</v>
      </c>
      <c r="G266" s="85" t="s">
        <v>78</v>
      </c>
      <c r="H266" s="78">
        <v>105000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34000</v>
      </c>
      <c r="T266" s="78">
        <v>71000</v>
      </c>
      <c r="U266" s="24">
        <f t="shared" si="92"/>
        <v>105000</v>
      </c>
      <c r="V266" s="21">
        <f t="shared" si="90"/>
        <v>105000</v>
      </c>
    </row>
    <row r="267" spans="1:22" ht="15.75" customHeight="1" hidden="1">
      <c r="A267" s="5" t="s">
        <v>42</v>
      </c>
      <c r="B267" s="3" t="s">
        <v>18</v>
      </c>
      <c r="C267" s="128" t="s">
        <v>26</v>
      </c>
      <c r="D267" s="127">
        <v>8220100270</v>
      </c>
      <c r="E267" s="127">
        <v>611</v>
      </c>
      <c r="F267" s="120">
        <v>310</v>
      </c>
      <c r="G267" s="85" t="s">
        <v>78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24">
        <f t="shared" si="92"/>
        <v>0</v>
      </c>
      <c r="V267" s="21">
        <f t="shared" si="90"/>
        <v>0</v>
      </c>
    </row>
    <row r="268" spans="1:22" ht="12.75" hidden="1">
      <c r="A268" s="5" t="s">
        <v>42</v>
      </c>
      <c r="B268" s="3" t="s">
        <v>7</v>
      </c>
      <c r="C268" s="128" t="s">
        <v>26</v>
      </c>
      <c r="D268" s="127">
        <v>8220100270</v>
      </c>
      <c r="E268" s="127">
        <v>611</v>
      </c>
      <c r="F268" s="127">
        <v>211</v>
      </c>
      <c r="G268" s="85" t="s">
        <v>91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24">
        <f t="shared" si="92"/>
        <v>0</v>
      </c>
      <c r="V268" s="21">
        <f t="shared" si="90"/>
        <v>0</v>
      </c>
    </row>
    <row r="269" spans="1:22" ht="12.75" hidden="1">
      <c r="A269" s="5" t="s">
        <v>42</v>
      </c>
      <c r="B269" s="3" t="s">
        <v>9</v>
      </c>
      <c r="C269" s="128" t="s">
        <v>26</v>
      </c>
      <c r="D269" s="127">
        <v>8220100270</v>
      </c>
      <c r="E269" s="127">
        <v>611</v>
      </c>
      <c r="F269" s="127">
        <v>213</v>
      </c>
      <c r="G269" s="85" t="s">
        <v>91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89">
        <v>0</v>
      </c>
      <c r="O269" s="89">
        <v>0</v>
      </c>
      <c r="P269" s="89">
        <v>0</v>
      </c>
      <c r="Q269" s="89">
        <v>0</v>
      </c>
      <c r="R269" s="89">
        <v>0</v>
      </c>
      <c r="S269" s="89">
        <v>0</v>
      </c>
      <c r="T269" s="89">
        <v>0</v>
      </c>
      <c r="U269" s="24">
        <f t="shared" si="92"/>
        <v>0</v>
      </c>
      <c r="V269" s="21">
        <f t="shared" si="90"/>
        <v>0</v>
      </c>
    </row>
    <row r="270" spans="1:22" ht="12.75">
      <c r="A270" s="5"/>
      <c r="B270" s="88"/>
      <c r="C270" s="128"/>
      <c r="D270" s="127"/>
      <c r="E270" s="127"/>
      <c r="F270" s="127"/>
      <c r="G270" s="86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24"/>
      <c r="V270" s="21">
        <f t="shared" si="90"/>
        <v>0</v>
      </c>
    </row>
    <row r="271" spans="1:22" ht="76.5">
      <c r="A271" s="5" t="s">
        <v>42</v>
      </c>
      <c r="B271" s="35" t="s">
        <v>151</v>
      </c>
      <c r="C271" s="148" t="s">
        <v>26</v>
      </c>
      <c r="D271" s="161">
        <v>8230000000</v>
      </c>
      <c r="E271" s="161"/>
      <c r="F271" s="161"/>
      <c r="G271" s="37"/>
      <c r="H271" s="39">
        <f aca="true" t="shared" si="93" ref="H271:T271">H272+H273+H274+H275+H276+H277</f>
        <v>3458700</v>
      </c>
      <c r="I271" s="39">
        <f t="shared" si="93"/>
        <v>287400</v>
      </c>
      <c r="J271" s="39">
        <f t="shared" si="93"/>
        <v>178300</v>
      </c>
      <c r="K271" s="39">
        <f t="shared" si="93"/>
        <v>288300</v>
      </c>
      <c r="L271" s="39">
        <f t="shared" si="93"/>
        <v>288300</v>
      </c>
      <c r="M271" s="39">
        <f t="shared" si="93"/>
        <v>288300</v>
      </c>
      <c r="N271" s="39">
        <f t="shared" si="93"/>
        <v>288300</v>
      </c>
      <c r="O271" s="39">
        <f t="shared" si="93"/>
        <v>288300</v>
      </c>
      <c r="P271" s="39">
        <f t="shared" si="93"/>
        <v>288300</v>
      </c>
      <c r="Q271" s="39">
        <f t="shared" si="93"/>
        <v>288300</v>
      </c>
      <c r="R271" s="39">
        <f t="shared" si="93"/>
        <v>298300</v>
      </c>
      <c r="S271" s="39">
        <f t="shared" si="93"/>
        <v>388300</v>
      </c>
      <c r="T271" s="39">
        <f t="shared" si="93"/>
        <v>288300</v>
      </c>
      <c r="U271" s="24">
        <f aca="true" t="shared" si="94" ref="U271:U284">I271+J271+K271+L271+M271+N271+O271+P271+Q271+R271+S271+T271</f>
        <v>3458700</v>
      </c>
      <c r="V271" s="21">
        <f t="shared" si="90"/>
        <v>3458700</v>
      </c>
    </row>
    <row r="272" spans="1:22" ht="31.5" customHeight="1">
      <c r="A272" s="5" t="s">
        <v>42</v>
      </c>
      <c r="B272" s="3" t="s">
        <v>7</v>
      </c>
      <c r="C272" s="164" t="s">
        <v>26</v>
      </c>
      <c r="D272" s="162">
        <v>8230110410</v>
      </c>
      <c r="E272" s="162">
        <v>611</v>
      </c>
      <c r="F272" s="162">
        <v>211</v>
      </c>
      <c r="G272" s="229" t="s">
        <v>152</v>
      </c>
      <c r="H272" s="89">
        <v>2656500</v>
      </c>
      <c r="I272" s="89">
        <v>221100</v>
      </c>
      <c r="J272" s="89">
        <f>221400-100000</f>
        <v>121400</v>
      </c>
      <c r="K272" s="89">
        <v>221400</v>
      </c>
      <c r="L272" s="89">
        <v>221400</v>
      </c>
      <c r="M272" s="89">
        <v>221400</v>
      </c>
      <c r="N272" s="89">
        <v>221400</v>
      </c>
      <c r="O272" s="89">
        <v>221400</v>
      </c>
      <c r="P272" s="89">
        <v>221400</v>
      </c>
      <c r="Q272" s="89">
        <v>221400</v>
      </c>
      <c r="R272" s="89">
        <v>221400</v>
      </c>
      <c r="S272" s="89">
        <f>221400+100000</f>
        <v>321400</v>
      </c>
      <c r="T272" s="89">
        <v>221400</v>
      </c>
      <c r="U272" s="24">
        <f t="shared" si="94"/>
        <v>2656500</v>
      </c>
      <c r="V272" s="21">
        <f t="shared" si="90"/>
        <v>2656500</v>
      </c>
    </row>
    <row r="273" spans="1:22" ht="36" customHeight="1">
      <c r="A273" s="5" t="s">
        <v>42</v>
      </c>
      <c r="B273" s="3" t="s">
        <v>9</v>
      </c>
      <c r="C273" s="164" t="s">
        <v>26</v>
      </c>
      <c r="D273" s="162">
        <v>8230110410</v>
      </c>
      <c r="E273" s="162">
        <v>611</v>
      </c>
      <c r="F273" s="162">
        <v>213</v>
      </c>
      <c r="G273" s="230"/>
      <c r="H273" s="89">
        <v>802200</v>
      </c>
      <c r="I273" s="89">
        <v>66300</v>
      </c>
      <c r="J273" s="89">
        <f>66900-10000</f>
        <v>56900</v>
      </c>
      <c r="K273" s="89">
        <v>66900</v>
      </c>
      <c r="L273" s="89">
        <v>66900</v>
      </c>
      <c r="M273" s="89">
        <v>66900</v>
      </c>
      <c r="N273" s="89">
        <v>66900</v>
      </c>
      <c r="O273" s="89">
        <v>66900</v>
      </c>
      <c r="P273" s="89">
        <v>66900</v>
      </c>
      <c r="Q273" s="89">
        <v>66900</v>
      </c>
      <c r="R273" s="89">
        <f>66900+10000</f>
        <v>76900</v>
      </c>
      <c r="S273" s="89">
        <v>66900</v>
      </c>
      <c r="T273" s="89">
        <v>66900</v>
      </c>
      <c r="U273" s="24">
        <f t="shared" si="94"/>
        <v>802200</v>
      </c>
      <c r="V273" s="21">
        <f t="shared" si="90"/>
        <v>802200</v>
      </c>
    </row>
    <row r="274" spans="1:22" ht="46.5" customHeight="1" hidden="1">
      <c r="A274" s="5" t="s">
        <v>42</v>
      </c>
      <c r="B274" s="3" t="s">
        <v>7</v>
      </c>
      <c r="C274" s="128" t="s">
        <v>26</v>
      </c>
      <c r="D274" s="127">
        <v>8230110410</v>
      </c>
      <c r="E274" s="127">
        <v>611</v>
      </c>
      <c r="F274" s="127">
        <v>211</v>
      </c>
      <c r="G274" s="229"/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24">
        <f t="shared" si="94"/>
        <v>0</v>
      </c>
      <c r="V274" s="21">
        <f aca="true" t="shared" si="95" ref="V274:V305">SUM(I274:T274)</f>
        <v>0</v>
      </c>
    </row>
    <row r="275" spans="1:22" ht="45.75" customHeight="1" hidden="1">
      <c r="A275" s="5" t="s">
        <v>42</v>
      </c>
      <c r="B275" s="3" t="s">
        <v>9</v>
      </c>
      <c r="C275" s="128" t="s">
        <v>26</v>
      </c>
      <c r="D275" s="127">
        <v>8230110410</v>
      </c>
      <c r="E275" s="127">
        <v>611</v>
      </c>
      <c r="F275" s="127">
        <v>213</v>
      </c>
      <c r="G275" s="230"/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v>0</v>
      </c>
      <c r="O275" s="89">
        <v>0</v>
      </c>
      <c r="P275" s="89">
        <v>0</v>
      </c>
      <c r="Q275" s="89">
        <v>0</v>
      </c>
      <c r="R275" s="89">
        <v>0</v>
      </c>
      <c r="S275" s="89">
        <v>0</v>
      </c>
      <c r="T275" s="89">
        <v>0</v>
      </c>
      <c r="U275" s="24">
        <f t="shared" si="94"/>
        <v>0</v>
      </c>
      <c r="V275" s="21">
        <f t="shared" si="95"/>
        <v>0</v>
      </c>
    </row>
    <row r="276" spans="1:22" ht="67.5" customHeight="1" hidden="1">
      <c r="A276" s="5" t="s">
        <v>42</v>
      </c>
      <c r="B276" s="3" t="s">
        <v>7</v>
      </c>
      <c r="C276" s="128" t="s">
        <v>26</v>
      </c>
      <c r="D276" s="127">
        <v>8230110410</v>
      </c>
      <c r="E276" s="127">
        <v>611</v>
      </c>
      <c r="F276" s="127">
        <v>211</v>
      </c>
      <c r="G276" s="229"/>
      <c r="H276" s="89">
        <v>0</v>
      </c>
      <c r="I276" s="89">
        <v>0</v>
      </c>
      <c r="J276" s="89">
        <v>0</v>
      </c>
      <c r="K276" s="89">
        <v>0</v>
      </c>
      <c r="L276" s="89">
        <v>0</v>
      </c>
      <c r="M276" s="89">
        <v>0</v>
      </c>
      <c r="N276" s="89">
        <v>0</v>
      </c>
      <c r="O276" s="89">
        <v>0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24">
        <f t="shared" si="94"/>
        <v>0</v>
      </c>
      <c r="V276" s="21">
        <f t="shared" si="95"/>
        <v>0</v>
      </c>
    </row>
    <row r="277" spans="1:22" ht="53.25" customHeight="1" hidden="1">
      <c r="A277" s="5" t="s">
        <v>42</v>
      </c>
      <c r="B277" s="3" t="s">
        <v>9</v>
      </c>
      <c r="C277" s="128" t="s">
        <v>26</v>
      </c>
      <c r="D277" s="127">
        <v>8230110410</v>
      </c>
      <c r="E277" s="127">
        <v>611</v>
      </c>
      <c r="F277" s="127">
        <v>213</v>
      </c>
      <c r="G277" s="230"/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0</v>
      </c>
      <c r="O277" s="89">
        <v>0</v>
      </c>
      <c r="P277" s="89">
        <v>0</v>
      </c>
      <c r="Q277" s="89">
        <v>0</v>
      </c>
      <c r="R277" s="89">
        <v>0</v>
      </c>
      <c r="S277" s="89">
        <v>0</v>
      </c>
      <c r="T277" s="89">
        <v>0</v>
      </c>
      <c r="U277" s="24">
        <f t="shared" si="94"/>
        <v>0</v>
      </c>
      <c r="V277" s="21">
        <f t="shared" si="95"/>
        <v>0</v>
      </c>
    </row>
    <row r="278" spans="1:22" ht="12.75" hidden="1">
      <c r="A278" s="5"/>
      <c r="B278" s="88"/>
      <c r="C278" s="128"/>
      <c r="D278" s="127"/>
      <c r="E278" s="127"/>
      <c r="F278" s="127"/>
      <c r="G278" s="86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24">
        <f t="shared" si="94"/>
        <v>0</v>
      </c>
      <c r="V278" s="21">
        <f t="shared" si="95"/>
        <v>0</v>
      </c>
    </row>
    <row r="279" spans="1:22" ht="12.75" hidden="1">
      <c r="A279" s="5"/>
      <c r="B279" s="88"/>
      <c r="C279" s="128"/>
      <c r="D279" s="127"/>
      <c r="E279" s="127"/>
      <c r="F279" s="127"/>
      <c r="G279" s="86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24">
        <f t="shared" si="94"/>
        <v>0</v>
      </c>
      <c r="V279" s="21">
        <f t="shared" si="95"/>
        <v>0</v>
      </c>
    </row>
    <row r="280" spans="1:22" ht="12.75" hidden="1">
      <c r="A280" s="5"/>
      <c r="B280" s="88"/>
      <c r="C280" s="128"/>
      <c r="D280" s="127"/>
      <c r="E280" s="127"/>
      <c r="F280" s="127"/>
      <c r="G280" s="86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24">
        <f t="shared" si="94"/>
        <v>0</v>
      </c>
      <c r="V280" s="21">
        <f t="shared" si="95"/>
        <v>0</v>
      </c>
    </row>
    <row r="281" spans="1:22" ht="12.75" hidden="1">
      <c r="A281" s="5"/>
      <c r="B281" s="88"/>
      <c r="C281" s="128"/>
      <c r="D281" s="127"/>
      <c r="E281" s="127"/>
      <c r="F281" s="127"/>
      <c r="G281" s="86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24">
        <f t="shared" si="94"/>
        <v>0</v>
      </c>
      <c r="V281" s="21">
        <f t="shared" si="95"/>
        <v>0</v>
      </c>
    </row>
    <row r="282" spans="1:22" ht="12.75" hidden="1">
      <c r="A282" s="5"/>
      <c r="B282" s="88"/>
      <c r="C282" s="128"/>
      <c r="D282" s="127"/>
      <c r="E282" s="127"/>
      <c r="F282" s="127"/>
      <c r="G282" s="86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24">
        <f t="shared" si="94"/>
        <v>0</v>
      </c>
      <c r="V282" s="21">
        <f t="shared" si="95"/>
        <v>0</v>
      </c>
    </row>
    <row r="283" spans="1:22" ht="12.75" hidden="1">
      <c r="A283" s="5"/>
      <c r="B283" s="88"/>
      <c r="C283" s="128"/>
      <c r="D283" s="127"/>
      <c r="E283" s="127"/>
      <c r="F283" s="127"/>
      <c r="G283" s="86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24">
        <f t="shared" si="94"/>
        <v>0</v>
      </c>
      <c r="V283" s="21">
        <f t="shared" si="95"/>
        <v>0</v>
      </c>
    </row>
    <row r="284" spans="1:22" ht="12.75" hidden="1">
      <c r="A284" s="5"/>
      <c r="B284" s="88"/>
      <c r="C284" s="128"/>
      <c r="D284" s="127"/>
      <c r="E284" s="127"/>
      <c r="F284" s="127"/>
      <c r="G284" s="86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24">
        <f t="shared" si="94"/>
        <v>0</v>
      </c>
      <c r="V284" s="21">
        <f t="shared" si="95"/>
        <v>0</v>
      </c>
    </row>
    <row r="285" spans="1:22" ht="12.75">
      <c r="A285" s="5"/>
      <c r="B285" s="88"/>
      <c r="C285" s="128"/>
      <c r="D285" s="127"/>
      <c r="E285" s="127"/>
      <c r="F285" s="127"/>
      <c r="G285" s="86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24"/>
      <c r="V285" s="21">
        <f t="shared" si="95"/>
        <v>0</v>
      </c>
    </row>
    <row r="286" spans="1:22" ht="76.5">
      <c r="A286" s="5" t="s">
        <v>42</v>
      </c>
      <c r="B286" s="35" t="s">
        <v>153</v>
      </c>
      <c r="C286" s="148" t="s">
        <v>26</v>
      </c>
      <c r="D286" s="161">
        <v>8240000000</v>
      </c>
      <c r="E286" s="161"/>
      <c r="F286" s="161"/>
      <c r="G286" s="37"/>
      <c r="H286" s="39">
        <f aca="true" t="shared" si="96" ref="H286:T286">H287</f>
        <v>414700</v>
      </c>
      <c r="I286" s="39">
        <f t="shared" si="96"/>
        <v>30800</v>
      </c>
      <c r="J286" s="39">
        <f t="shared" si="96"/>
        <v>13000</v>
      </c>
      <c r="K286" s="39">
        <f t="shared" si="96"/>
        <v>17800</v>
      </c>
      <c r="L286" s="39">
        <f t="shared" si="96"/>
        <v>20800</v>
      </c>
      <c r="M286" s="39">
        <f t="shared" si="96"/>
        <v>30800</v>
      </c>
      <c r="N286" s="39">
        <f t="shared" si="96"/>
        <v>10800</v>
      </c>
      <c r="O286" s="39">
        <f t="shared" si="96"/>
        <v>20300</v>
      </c>
      <c r="P286" s="39">
        <f t="shared" si="96"/>
        <v>20800</v>
      </c>
      <c r="Q286" s="39">
        <f t="shared" si="96"/>
        <v>20800</v>
      </c>
      <c r="R286" s="39">
        <f t="shared" si="96"/>
        <v>73200</v>
      </c>
      <c r="S286" s="39">
        <f t="shared" si="96"/>
        <v>61600</v>
      </c>
      <c r="T286" s="39">
        <f t="shared" si="96"/>
        <v>94000</v>
      </c>
      <c r="U286" s="24">
        <f>I286+J286+K286+L286+M286+N286+O286+P286+Q286+R286+S286+T286</f>
        <v>414700</v>
      </c>
      <c r="V286" s="21">
        <f t="shared" si="95"/>
        <v>414700</v>
      </c>
    </row>
    <row r="287" spans="1:22" ht="12.75">
      <c r="A287" s="5" t="s">
        <v>42</v>
      </c>
      <c r="B287" s="3" t="s">
        <v>16</v>
      </c>
      <c r="C287" s="164" t="s">
        <v>26</v>
      </c>
      <c r="D287" s="162">
        <v>8240100320</v>
      </c>
      <c r="E287" s="162">
        <v>611</v>
      </c>
      <c r="F287" s="144">
        <v>290</v>
      </c>
      <c r="G287" s="86"/>
      <c r="H287" s="89">
        <v>414700</v>
      </c>
      <c r="I287" s="89">
        <v>30800</v>
      </c>
      <c r="J287" s="89">
        <v>13000</v>
      </c>
      <c r="K287" s="89">
        <v>17800</v>
      </c>
      <c r="L287" s="89">
        <v>20800</v>
      </c>
      <c r="M287" s="89">
        <v>30800</v>
      </c>
      <c r="N287" s="89">
        <v>10800</v>
      </c>
      <c r="O287" s="89">
        <v>20300</v>
      </c>
      <c r="P287" s="89">
        <v>20800</v>
      </c>
      <c r="Q287" s="89">
        <v>20800</v>
      </c>
      <c r="R287" s="89">
        <v>73200</v>
      </c>
      <c r="S287" s="89">
        <v>61600</v>
      </c>
      <c r="T287" s="89">
        <v>94000</v>
      </c>
      <c r="U287" s="24">
        <f>I287+J287+K287+L287+M287+N287+O287+P287+Q287+R287+S287+T287</f>
        <v>414700</v>
      </c>
      <c r="V287" s="21">
        <f t="shared" si="95"/>
        <v>414700</v>
      </c>
    </row>
    <row r="288" spans="1:22" ht="12.75">
      <c r="A288" s="5"/>
      <c r="B288" s="88"/>
      <c r="C288" s="128"/>
      <c r="D288" s="127"/>
      <c r="E288" s="127"/>
      <c r="F288" s="113"/>
      <c r="G288" s="86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24"/>
      <c r="V288" s="21">
        <f t="shared" si="95"/>
        <v>0</v>
      </c>
    </row>
    <row r="289" spans="1:22" ht="38.25">
      <c r="A289" s="5" t="s">
        <v>42</v>
      </c>
      <c r="B289" s="90" t="s">
        <v>92</v>
      </c>
      <c r="C289" s="164" t="s">
        <v>26</v>
      </c>
      <c r="D289" s="162">
        <v>9410000000</v>
      </c>
      <c r="E289" s="162"/>
      <c r="F289" s="144"/>
      <c r="G289" s="86"/>
      <c r="H289" s="39">
        <f aca="true" t="shared" si="97" ref="H289:T289">H290</f>
        <v>100000</v>
      </c>
      <c r="I289" s="77">
        <f t="shared" si="97"/>
        <v>0</v>
      </c>
      <c r="J289" s="77">
        <f t="shared" si="97"/>
        <v>0</v>
      </c>
      <c r="K289" s="77">
        <f t="shared" si="97"/>
        <v>0</v>
      </c>
      <c r="L289" s="77">
        <f t="shared" si="97"/>
        <v>0</v>
      </c>
      <c r="M289" s="77">
        <f t="shared" si="97"/>
        <v>0</v>
      </c>
      <c r="N289" s="77">
        <f t="shared" si="97"/>
        <v>0</v>
      </c>
      <c r="O289" s="77">
        <f t="shared" si="97"/>
        <v>0</v>
      </c>
      <c r="P289" s="77">
        <f t="shared" si="97"/>
        <v>0</v>
      </c>
      <c r="Q289" s="77">
        <f t="shared" si="97"/>
        <v>0</v>
      </c>
      <c r="R289" s="77">
        <f t="shared" si="97"/>
        <v>0</v>
      </c>
      <c r="S289" s="77">
        <f t="shared" si="97"/>
        <v>0</v>
      </c>
      <c r="T289" s="77">
        <f t="shared" si="97"/>
        <v>100000</v>
      </c>
      <c r="U289" s="24">
        <f>I289+J289+K289+L289+M289+N289+O289+P289+Q289+R289+S289+T289</f>
        <v>100000</v>
      </c>
      <c r="V289" s="21">
        <f t="shared" si="95"/>
        <v>100000</v>
      </c>
    </row>
    <row r="290" spans="1:22" ht="12.75">
      <c r="A290" s="5" t="s">
        <v>42</v>
      </c>
      <c r="B290" s="3" t="s">
        <v>18</v>
      </c>
      <c r="C290" s="164" t="s">
        <v>26</v>
      </c>
      <c r="D290" s="162">
        <v>9410051440</v>
      </c>
      <c r="E290" s="162">
        <v>540</v>
      </c>
      <c r="F290" s="162">
        <v>310</v>
      </c>
      <c r="G290" s="86"/>
      <c r="H290" s="89">
        <v>100000</v>
      </c>
      <c r="I290" s="89">
        <v>0</v>
      </c>
      <c r="J290" s="89">
        <v>0</v>
      </c>
      <c r="K290" s="89">
        <v>0</v>
      </c>
      <c r="L290" s="89">
        <v>0</v>
      </c>
      <c r="M290" s="89">
        <v>0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  <c r="S290" s="89">
        <v>0</v>
      </c>
      <c r="T290" s="89">
        <v>100000</v>
      </c>
      <c r="U290" s="24">
        <f>I290+J290+K290+L290+M290+N290+O290+P290+Q290+R290+S290+T290</f>
        <v>100000</v>
      </c>
      <c r="V290" s="21">
        <f t="shared" si="95"/>
        <v>100000</v>
      </c>
    </row>
    <row r="291" spans="1:22" ht="12.75">
      <c r="A291" s="5"/>
      <c r="B291" s="88"/>
      <c r="C291" s="128"/>
      <c r="D291" s="127"/>
      <c r="E291" s="127"/>
      <c r="F291" s="127"/>
      <c r="G291" s="86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24"/>
      <c r="V291" s="21">
        <f t="shared" si="95"/>
        <v>0</v>
      </c>
    </row>
    <row r="292" spans="1:22" ht="89.25">
      <c r="A292" s="5" t="s">
        <v>42</v>
      </c>
      <c r="B292" s="35" t="s">
        <v>154</v>
      </c>
      <c r="C292" s="148" t="s">
        <v>26</v>
      </c>
      <c r="D292" s="161">
        <v>8400000000</v>
      </c>
      <c r="E292" s="161"/>
      <c r="F292" s="161"/>
      <c r="G292" s="37"/>
      <c r="H292" s="39">
        <f aca="true" t="shared" si="98" ref="H292:T292">H293</f>
        <v>10000</v>
      </c>
      <c r="I292" s="39">
        <f t="shared" si="98"/>
        <v>0</v>
      </c>
      <c r="J292" s="39">
        <f t="shared" si="98"/>
        <v>0</v>
      </c>
      <c r="K292" s="39">
        <f t="shared" si="98"/>
        <v>0</v>
      </c>
      <c r="L292" s="39">
        <f t="shared" si="98"/>
        <v>0</v>
      </c>
      <c r="M292" s="39">
        <f t="shared" si="98"/>
        <v>0</v>
      </c>
      <c r="N292" s="39">
        <f t="shared" si="98"/>
        <v>0</v>
      </c>
      <c r="O292" s="39">
        <f t="shared" si="98"/>
        <v>0</v>
      </c>
      <c r="P292" s="39">
        <f t="shared" si="98"/>
        <v>0</v>
      </c>
      <c r="Q292" s="39">
        <f t="shared" si="98"/>
        <v>0</v>
      </c>
      <c r="R292" s="39">
        <f t="shared" si="98"/>
        <v>0</v>
      </c>
      <c r="S292" s="39">
        <f t="shared" si="98"/>
        <v>10000</v>
      </c>
      <c r="T292" s="39">
        <f t="shared" si="98"/>
        <v>0</v>
      </c>
      <c r="U292" s="24">
        <f>I292+J292+K292+L292+M292+N292+O292+P292+Q292+R292+S292+T292</f>
        <v>10000</v>
      </c>
      <c r="V292" s="21">
        <f t="shared" si="95"/>
        <v>10000</v>
      </c>
    </row>
    <row r="293" spans="1:22" ht="12.75">
      <c r="A293" s="5" t="s">
        <v>42</v>
      </c>
      <c r="B293" s="3" t="s">
        <v>16</v>
      </c>
      <c r="C293" s="164" t="s">
        <v>26</v>
      </c>
      <c r="D293" s="162">
        <v>8410110290</v>
      </c>
      <c r="E293" s="162">
        <v>611</v>
      </c>
      <c r="F293" s="162">
        <v>290</v>
      </c>
      <c r="G293" s="86"/>
      <c r="H293" s="89">
        <v>10000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89">
        <v>10000</v>
      </c>
      <c r="T293" s="89">
        <v>0</v>
      </c>
      <c r="U293" s="24">
        <f>I293+J293+K293+L293+M293+N293+O293+P293+Q293+R293+S293+T293</f>
        <v>10000</v>
      </c>
      <c r="V293" s="21">
        <f t="shared" si="95"/>
        <v>10000</v>
      </c>
    </row>
    <row r="294" spans="1:22" ht="12.75">
      <c r="A294" s="5"/>
      <c r="B294" s="88"/>
      <c r="C294" s="128"/>
      <c r="D294" s="127"/>
      <c r="E294" s="127"/>
      <c r="F294" s="127"/>
      <c r="G294" s="86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24"/>
      <c r="V294" s="21">
        <f t="shared" si="95"/>
        <v>0</v>
      </c>
    </row>
    <row r="295" spans="1:22" ht="140.25">
      <c r="A295" s="5" t="s">
        <v>42</v>
      </c>
      <c r="B295" s="35" t="s">
        <v>155</v>
      </c>
      <c r="C295" s="148" t="s">
        <v>26</v>
      </c>
      <c r="D295" s="161">
        <v>8500000000</v>
      </c>
      <c r="E295" s="161"/>
      <c r="F295" s="161"/>
      <c r="G295" s="37"/>
      <c r="H295" s="39">
        <f aca="true" t="shared" si="99" ref="H295:T295">H296</f>
        <v>50000</v>
      </c>
      <c r="I295" s="39">
        <f t="shared" si="99"/>
        <v>0</v>
      </c>
      <c r="J295" s="39">
        <f t="shared" si="99"/>
        <v>0</v>
      </c>
      <c r="K295" s="39">
        <f t="shared" si="99"/>
        <v>0</v>
      </c>
      <c r="L295" s="39">
        <f t="shared" si="99"/>
        <v>50000</v>
      </c>
      <c r="M295" s="39">
        <f t="shared" si="99"/>
        <v>0</v>
      </c>
      <c r="N295" s="39">
        <f t="shared" si="99"/>
        <v>0</v>
      </c>
      <c r="O295" s="39">
        <f t="shared" si="99"/>
        <v>0</v>
      </c>
      <c r="P295" s="39">
        <f t="shared" si="99"/>
        <v>0</v>
      </c>
      <c r="Q295" s="39">
        <f t="shared" si="99"/>
        <v>0</v>
      </c>
      <c r="R295" s="39">
        <f t="shared" si="99"/>
        <v>0</v>
      </c>
      <c r="S295" s="39">
        <f t="shared" si="99"/>
        <v>0</v>
      </c>
      <c r="T295" s="39">
        <f t="shared" si="99"/>
        <v>0</v>
      </c>
      <c r="U295" s="24">
        <f>I295+J295+K295+L295+M295+N295+O295+P295+Q295+R295+S295+T295</f>
        <v>50000</v>
      </c>
      <c r="V295" s="21">
        <f t="shared" si="95"/>
        <v>50000</v>
      </c>
    </row>
    <row r="296" spans="1:22" ht="25.5">
      <c r="A296" s="5" t="s">
        <v>42</v>
      </c>
      <c r="B296" s="72" t="s">
        <v>71</v>
      </c>
      <c r="C296" s="164" t="s">
        <v>26</v>
      </c>
      <c r="D296" s="162">
        <v>8510110310</v>
      </c>
      <c r="E296" s="162">
        <v>244</v>
      </c>
      <c r="F296" s="162">
        <v>225</v>
      </c>
      <c r="G296" s="86"/>
      <c r="H296" s="78">
        <v>50000</v>
      </c>
      <c r="I296" s="78">
        <v>0</v>
      </c>
      <c r="J296" s="78">
        <v>0</v>
      </c>
      <c r="K296" s="78">
        <v>0</v>
      </c>
      <c r="L296" s="78">
        <v>50000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24">
        <f>I296+J296+K296+L296+M296+N296+O296+P296+Q296+R296+S296+T296</f>
        <v>50000</v>
      </c>
      <c r="V296" s="21">
        <f t="shared" si="95"/>
        <v>50000</v>
      </c>
    </row>
    <row r="297" spans="1:22" ht="12.75">
      <c r="A297" s="5"/>
      <c r="B297" s="88"/>
      <c r="C297" s="128"/>
      <c r="D297" s="127"/>
      <c r="E297" s="127"/>
      <c r="F297" s="127"/>
      <c r="G297" s="86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24"/>
      <c r="V297" s="21">
        <f t="shared" si="95"/>
        <v>0</v>
      </c>
    </row>
    <row r="298" spans="1:22" ht="12.75">
      <c r="A298" s="5"/>
      <c r="B298" s="29" t="s">
        <v>53</v>
      </c>
      <c r="C298" s="180" t="s">
        <v>26</v>
      </c>
      <c r="D298" s="127"/>
      <c r="E298" s="127"/>
      <c r="F298" s="127"/>
      <c r="G298" s="86"/>
      <c r="H298" s="92">
        <f aca="true" t="shared" si="100" ref="H298:T298">H295+H292+H289+H238</f>
        <v>12409900</v>
      </c>
      <c r="I298" s="91">
        <f t="shared" si="100"/>
        <v>995900</v>
      </c>
      <c r="J298" s="91">
        <f t="shared" si="100"/>
        <v>845190</v>
      </c>
      <c r="K298" s="91">
        <f t="shared" si="100"/>
        <v>973290</v>
      </c>
      <c r="L298" s="91">
        <f t="shared" si="100"/>
        <v>1081890</v>
      </c>
      <c r="M298" s="91">
        <f t="shared" si="100"/>
        <v>952790</v>
      </c>
      <c r="N298" s="91">
        <f t="shared" si="100"/>
        <v>914650</v>
      </c>
      <c r="O298" s="91">
        <f t="shared" si="100"/>
        <v>978790</v>
      </c>
      <c r="P298" s="91">
        <f t="shared" si="100"/>
        <v>928790</v>
      </c>
      <c r="Q298" s="91">
        <f t="shared" si="100"/>
        <v>957690</v>
      </c>
      <c r="R298" s="91">
        <f t="shared" si="100"/>
        <v>1121630</v>
      </c>
      <c r="S298" s="91">
        <f t="shared" si="100"/>
        <v>1257390</v>
      </c>
      <c r="T298" s="91">
        <f t="shared" si="100"/>
        <v>1401900</v>
      </c>
      <c r="U298" s="24">
        <f>I298+J298+K298+L298+M298+N298+O298+P298+Q298+R298+S298+T298</f>
        <v>12409900</v>
      </c>
      <c r="V298" s="21">
        <f t="shared" si="95"/>
        <v>12409900</v>
      </c>
    </row>
    <row r="299" spans="1:22" ht="12.75">
      <c r="A299" s="5"/>
      <c r="B299" s="88"/>
      <c r="C299" s="128"/>
      <c r="D299" s="127"/>
      <c r="E299" s="127"/>
      <c r="F299" s="127"/>
      <c r="G299" s="86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24"/>
      <c r="V299" s="21">
        <f t="shared" si="95"/>
        <v>0</v>
      </c>
    </row>
    <row r="300" spans="1:22" ht="12.75">
      <c r="A300" s="53"/>
      <c r="B300" s="54" t="s">
        <v>93</v>
      </c>
      <c r="C300" s="141"/>
      <c r="D300" s="140"/>
      <c r="E300" s="140"/>
      <c r="F300" s="140"/>
      <c r="G300" s="93"/>
      <c r="H300" s="94">
        <f aca="true" t="shared" si="101" ref="H300:T300">H298</f>
        <v>12409900</v>
      </c>
      <c r="I300" s="94">
        <f t="shared" si="101"/>
        <v>995900</v>
      </c>
      <c r="J300" s="94">
        <f t="shared" si="101"/>
        <v>845190</v>
      </c>
      <c r="K300" s="94">
        <f t="shared" si="101"/>
        <v>973290</v>
      </c>
      <c r="L300" s="94">
        <f t="shared" si="101"/>
        <v>1081890</v>
      </c>
      <c r="M300" s="94">
        <f t="shared" si="101"/>
        <v>952790</v>
      </c>
      <c r="N300" s="94">
        <f t="shared" si="101"/>
        <v>914650</v>
      </c>
      <c r="O300" s="94">
        <f t="shared" si="101"/>
        <v>978790</v>
      </c>
      <c r="P300" s="94">
        <f t="shared" si="101"/>
        <v>928790</v>
      </c>
      <c r="Q300" s="94">
        <f t="shared" si="101"/>
        <v>957690</v>
      </c>
      <c r="R300" s="94">
        <f t="shared" si="101"/>
        <v>1121630</v>
      </c>
      <c r="S300" s="94">
        <f t="shared" si="101"/>
        <v>1257390</v>
      </c>
      <c r="T300" s="94">
        <f t="shared" si="101"/>
        <v>1401900</v>
      </c>
      <c r="U300" s="24">
        <f>I300+J300+K300+L300+M300+N300+O300+P300+Q300+R300+S300+T300</f>
        <v>12409900</v>
      </c>
      <c r="V300" s="199">
        <f t="shared" si="95"/>
        <v>12409900</v>
      </c>
    </row>
    <row r="301" spans="1:22" ht="12.75">
      <c r="A301" s="5"/>
      <c r="B301" s="88"/>
      <c r="C301" s="128"/>
      <c r="D301" s="127"/>
      <c r="E301" s="127"/>
      <c r="F301" s="127"/>
      <c r="G301" s="86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24"/>
      <c r="V301" s="21">
        <f t="shared" si="95"/>
        <v>0</v>
      </c>
    </row>
    <row r="302" spans="1:22" ht="114.75">
      <c r="A302" s="5" t="s">
        <v>42</v>
      </c>
      <c r="B302" s="35" t="s">
        <v>156</v>
      </c>
      <c r="C302" s="148" t="s">
        <v>50</v>
      </c>
      <c r="D302" s="161">
        <v>8600000000</v>
      </c>
      <c r="E302" s="161"/>
      <c r="F302" s="161"/>
      <c r="G302" s="37"/>
      <c r="H302" s="39">
        <f aca="true" t="shared" si="102" ref="H302:T302">H303</f>
        <v>277300</v>
      </c>
      <c r="I302" s="39">
        <f t="shared" si="102"/>
        <v>17400</v>
      </c>
      <c r="J302" s="39">
        <f t="shared" si="102"/>
        <v>17400</v>
      </c>
      <c r="K302" s="39">
        <f t="shared" si="102"/>
        <v>17400</v>
      </c>
      <c r="L302" s="39">
        <f t="shared" si="102"/>
        <v>17400</v>
      </c>
      <c r="M302" s="39">
        <f t="shared" si="102"/>
        <v>17400</v>
      </c>
      <c r="N302" s="39">
        <f t="shared" si="102"/>
        <v>17400</v>
      </c>
      <c r="O302" s="39">
        <f t="shared" si="102"/>
        <v>17400</v>
      </c>
      <c r="P302" s="39">
        <f t="shared" si="102"/>
        <v>17400</v>
      </c>
      <c r="Q302" s="39">
        <f t="shared" si="102"/>
        <v>17400</v>
      </c>
      <c r="R302" s="39">
        <f t="shared" si="102"/>
        <v>17400</v>
      </c>
      <c r="S302" s="39">
        <f t="shared" si="102"/>
        <v>17400</v>
      </c>
      <c r="T302" s="39">
        <f t="shared" si="102"/>
        <v>85900</v>
      </c>
      <c r="U302" s="24">
        <f>I302+J302+K302+L302+M302+N302+O302+P302+Q302+R302+S302+T302</f>
        <v>277300</v>
      </c>
      <c r="V302" s="21">
        <f t="shared" si="95"/>
        <v>277300</v>
      </c>
    </row>
    <row r="303" spans="1:22" ht="51">
      <c r="A303" s="5" t="s">
        <v>42</v>
      </c>
      <c r="B303" s="8" t="s">
        <v>49</v>
      </c>
      <c r="C303" s="164" t="s">
        <v>50</v>
      </c>
      <c r="D303" s="162">
        <v>8610141210</v>
      </c>
      <c r="E303" s="162">
        <v>312</v>
      </c>
      <c r="F303" s="162">
        <v>263</v>
      </c>
      <c r="G303" s="86"/>
      <c r="H303" s="78">
        <f>209300+68000</f>
        <v>277300</v>
      </c>
      <c r="I303" s="78">
        <v>17400</v>
      </c>
      <c r="J303" s="78">
        <v>17400</v>
      </c>
      <c r="K303" s="78">
        <v>17400</v>
      </c>
      <c r="L303" s="78">
        <v>17400</v>
      </c>
      <c r="M303" s="78">
        <v>17400</v>
      </c>
      <c r="N303" s="78">
        <v>17400</v>
      </c>
      <c r="O303" s="78">
        <v>17400</v>
      </c>
      <c r="P303" s="78">
        <v>17400</v>
      </c>
      <c r="Q303" s="78">
        <v>17400</v>
      </c>
      <c r="R303" s="78">
        <v>17400</v>
      </c>
      <c r="S303" s="78">
        <v>17400</v>
      </c>
      <c r="T303" s="78">
        <f>17900+68000</f>
        <v>85900</v>
      </c>
      <c r="U303" s="24">
        <f>I303+J303+K303+L303+M303+N303+O303+P303+Q303+R303+S303+T303</f>
        <v>277300</v>
      </c>
      <c r="V303" s="21">
        <f t="shared" si="95"/>
        <v>277300</v>
      </c>
    </row>
    <row r="304" spans="1:22" ht="12.75">
      <c r="A304" s="5"/>
      <c r="B304" s="88"/>
      <c r="C304" s="128"/>
      <c r="D304" s="127"/>
      <c r="E304" s="127"/>
      <c r="F304" s="127"/>
      <c r="G304" s="86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24"/>
      <c r="V304" s="21">
        <f t="shared" si="95"/>
        <v>0</v>
      </c>
    </row>
    <row r="305" spans="1:22" ht="12.75">
      <c r="A305" s="5"/>
      <c r="B305" s="29" t="s">
        <v>53</v>
      </c>
      <c r="C305" s="180" t="s">
        <v>50</v>
      </c>
      <c r="D305" s="127"/>
      <c r="E305" s="127"/>
      <c r="F305" s="127"/>
      <c r="G305" s="86"/>
      <c r="H305" s="92">
        <f aca="true" t="shared" si="103" ref="H305:T305">H302</f>
        <v>277300</v>
      </c>
      <c r="I305" s="91">
        <f t="shared" si="103"/>
        <v>17400</v>
      </c>
      <c r="J305" s="91">
        <f t="shared" si="103"/>
        <v>17400</v>
      </c>
      <c r="K305" s="91">
        <f t="shared" si="103"/>
        <v>17400</v>
      </c>
      <c r="L305" s="91">
        <f t="shared" si="103"/>
        <v>17400</v>
      </c>
      <c r="M305" s="91">
        <f t="shared" si="103"/>
        <v>17400</v>
      </c>
      <c r="N305" s="91">
        <f t="shared" si="103"/>
        <v>17400</v>
      </c>
      <c r="O305" s="91">
        <f t="shared" si="103"/>
        <v>17400</v>
      </c>
      <c r="P305" s="91">
        <f t="shared" si="103"/>
        <v>17400</v>
      </c>
      <c r="Q305" s="91">
        <f t="shared" si="103"/>
        <v>17400</v>
      </c>
      <c r="R305" s="91">
        <f t="shared" si="103"/>
        <v>17400</v>
      </c>
      <c r="S305" s="91">
        <f t="shared" si="103"/>
        <v>17400</v>
      </c>
      <c r="T305" s="91">
        <f t="shared" si="103"/>
        <v>85900</v>
      </c>
      <c r="U305" s="24">
        <f>I305+J305+K305+L305+M305+N305+O305+P305+Q305+R305+S305+T305</f>
        <v>277300</v>
      </c>
      <c r="V305" s="21">
        <f t="shared" si="95"/>
        <v>277300</v>
      </c>
    </row>
    <row r="306" spans="1:22" ht="12.75">
      <c r="A306" s="5"/>
      <c r="B306" s="76"/>
      <c r="C306" s="136"/>
      <c r="D306" s="127"/>
      <c r="E306" s="127"/>
      <c r="F306" s="127"/>
      <c r="G306" s="86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24"/>
      <c r="V306" s="21">
        <f aca="true" t="shared" si="104" ref="V306:V313">SUM(I306:T306)</f>
        <v>0</v>
      </c>
    </row>
    <row r="307" spans="1:22" ht="127.5">
      <c r="A307" s="5" t="s">
        <v>42</v>
      </c>
      <c r="B307" s="35" t="s">
        <v>157</v>
      </c>
      <c r="C307" s="148" t="s">
        <v>94</v>
      </c>
      <c r="D307" s="161">
        <v>8700000000</v>
      </c>
      <c r="E307" s="161"/>
      <c r="F307" s="161"/>
      <c r="G307" s="37"/>
      <c r="H307" s="39">
        <f aca="true" t="shared" si="105" ref="H307:T307">H308</f>
        <v>30000</v>
      </c>
      <c r="I307" s="39">
        <f t="shared" si="105"/>
        <v>0</v>
      </c>
      <c r="J307" s="39">
        <f t="shared" si="105"/>
        <v>0</v>
      </c>
      <c r="K307" s="39">
        <f t="shared" si="105"/>
        <v>0</v>
      </c>
      <c r="L307" s="39">
        <f t="shared" si="105"/>
        <v>30000</v>
      </c>
      <c r="M307" s="39">
        <f t="shared" si="105"/>
        <v>0</v>
      </c>
      <c r="N307" s="39">
        <f t="shared" si="105"/>
        <v>0</v>
      </c>
      <c r="O307" s="39">
        <f t="shared" si="105"/>
        <v>0</v>
      </c>
      <c r="P307" s="39">
        <f t="shared" si="105"/>
        <v>0</v>
      </c>
      <c r="Q307" s="39">
        <f t="shared" si="105"/>
        <v>0</v>
      </c>
      <c r="R307" s="39">
        <f t="shared" si="105"/>
        <v>0</v>
      </c>
      <c r="S307" s="39">
        <f t="shared" si="105"/>
        <v>0</v>
      </c>
      <c r="T307" s="39">
        <f t="shared" si="105"/>
        <v>0</v>
      </c>
      <c r="U307" s="24">
        <f>I307+J307+K307+L307+M307+N307+O307+P307+Q307+R307+S307+T307</f>
        <v>30000</v>
      </c>
      <c r="V307" s="21">
        <f t="shared" si="104"/>
        <v>30000</v>
      </c>
    </row>
    <row r="308" spans="1:22" ht="12.75">
      <c r="A308" s="5" t="s">
        <v>42</v>
      </c>
      <c r="B308" s="3" t="s">
        <v>16</v>
      </c>
      <c r="C308" s="204" t="s">
        <v>94</v>
      </c>
      <c r="D308" s="162">
        <v>8710110300</v>
      </c>
      <c r="E308" s="162">
        <v>634</v>
      </c>
      <c r="F308" s="162">
        <v>290</v>
      </c>
      <c r="G308" s="86"/>
      <c r="H308" s="89">
        <v>30000</v>
      </c>
      <c r="I308" s="89">
        <v>0</v>
      </c>
      <c r="J308" s="89">
        <v>0</v>
      </c>
      <c r="K308" s="89">
        <v>0</v>
      </c>
      <c r="L308" s="89">
        <v>30000</v>
      </c>
      <c r="M308" s="89">
        <v>0</v>
      </c>
      <c r="N308" s="89">
        <v>0</v>
      </c>
      <c r="O308" s="89">
        <v>0</v>
      </c>
      <c r="P308" s="89">
        <v>0</v>
      </c>
      <c r="Q308" s="89">
        <v>0</v>
      </c>
      <c r="R308" s="89">
        <v>0</v>
      </c>
      <c r="S308" s="89">
        <v>0</v>
      </c>
      <c r="T308" s="89">
        <v>0</v>
      </c>
      <c r="U308" s="24">
        <f>I308+J308+K308+L308+M308+N308+O308+P308+Q308+R308+S308+T308</f>
        <v>30000</v>
      </c>
      <c r="V308" s="21">
        <f t="shared" si="104"/>
        <v>30000</v>
      </c>
    </row>
    <row r="309" spans="1:22" ht="12.75">
      <c r="A309" s="5"/>
      <c r="B309" s="76"/>
      <c r="C309" s="180"/>
      <c r="D309" s="162"/>
      <c r="E309" s="162"/>
      <c r="F309" s="162"/>
      <c r="G309" s="86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24"/>
      <c r="V309" s="21">
        <f t="shared" si="104"/>
        <v>0</v>
      </c>
    </row>
    <row r="310" spans="1:22" ht="12.75">
      <c r="A310" s="5"/>
      <c r="B310" s="29" t="s">
        <v>53</v>
      </c>
      <c r="C310" s="180" t="s">
        <v>94</v>
      </c>
      <c r="D310" s="162"/>
      <c r="E310" s="162"/>
      <c r="F310" s="162"/>
      <c r="G310" s="86"/>
      <c r="H310" s="92">
        <f aca="true" t="shared" si="106" ref="H310:T310">H307</f>
        <v>30000</v>
      </c>
      <c r="I310" s="91">
        <f t="shared" si="106"/>
        <v>0</v>
      </c>
      <c r="J310" s="91">
        <f t="shared" si="106"/>
        <v>0</v>
      </c>
      <c r="K310" s="91">
        <f t="shared" si="106"/>
        <v>0</v>
      </c>
      <c r="L310" s="91">
        <f t="shared" si="106"/>
        <v>30000</v>
      </c>
      <c r="M310" s="91">
        <f t="shared" si="106"/>
        <v>0</v>
      </c>
      <c r="N310" s="91">
        <f t="shared" si="106"/>
        <v>0</v>
      </c>
      <c r="O310" s="91">
        <f t="shared" si="106"/>
        <v>0</v>
      </c>
      <c r="P310" s="91">
        <f t="shared" si="106"/>
        <v>0</v>
      </c>
      <c r="Q310" s="91">
        <f t="shared" si="106"/>
        <v>0</v>
      </c>
      <c r="R310" s="91">
        <f t="shared" si="106"/>
        <v>0</v>
      </c>
      <c r="S310" s="91">
        <f t="shared" si="106"/>
        <v>0</v>
      </c>
      <c r="T310" s="91">
        <f t="shared" si="106"/>
        <v>0</v>
      </c>
      <c r="U310" s="24">
        <f>I310+J310+K310+L310+M310+N310+O310+P310+Q310+R310+S310+T310</f>
        <v>30000</v>
      </c>
      <c r="V310" s="21">
        <f t="shared" si="104"/>
        <v>30000</v>
      </c>
    </row>
    <row r="311" spans="1:22" ht="12.75">
      <c r="A311" s="5"/>
      <c r="B311" s="76"/>
      <c r="C311" s="136"/>
      <c r="D311" s="127"/>
      <c r="E311" s="127"/>
      <c r="F311" s="127"/>
      <c r="G311" s="86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24"/>
      <c r="V311" s="21">
        <f t="shared" si="104"/>
        <v>0</v>
      </c>
    </row>
    <row r="312" spans="1:22" ht="12.75">
      <c r="A312" s="53"/>
      <c r="B312" s="54" t="s">
        <v>95</v>
      </c>
      <c r="C312" s="143"/>
      <c r="D312" s="140"/>
      <c r="E312" s="140"/>
      <c r="F312" s="140"/>
      <c r="G312" s="93"/>
      <c r="H312" s="94">
        <f aca="true" t="shared" si="107" ref="H312:T312">H307+H302</f>
        <v>307300</v>
      </c>
      <c r="I312" s="94">
        <f t="shared" si="107"/>
        <v>17400</v>
      </c>
      <c r="J312" s="94">
        <f t="shared" si="107"/>
        <v>17400</v>
      </c>
      <c r="K312" s="94">
        <f t="shared" si="107"/>
        <v>17400</v>
      </c>
      <c r="L312" s="94">
        <f t="shared" si="107"/>
        <v>47400</v>
      </c>
      <c r="M312" s="94">
        <f t="shared" si="107"/>
        <v>17400</v>
      </c>
      <c r="N312" s="94">
        <f t="shared" si="107"/>
        <v>17400</v>
      </c>
      <c r="O312" s="94">
        <f t="shared" si="107"/>
        <v>17400</v>
      </c>
      <c r="P312" s="94">
        <f t="shared" si="107"/>
        <v>17400</v>
      </c>
      <c r="Q312" s="94">
        <f t="shared" si="107"/>
        <v>17400</v>
      </c>
      <c r="R312" s="94">
        <f t="shared" si="107"/>
        <v>17400</v>
      </c>
      <c r="S312" s="94">
        <f t="shared" si="107"/>
        <v>17400</v>
      </c>
      <c r="T312" s="94">
        <f t="shared" si="107"/>
        <v>85900</v>
      </c>
      <c r="U312" s="24">
        <f>I312+J312+K312+L312+M312+N312+O312+P312+Q312+R312+S312+T312</f>
        <v>307300</v>
      </c>
      <c r="V312" s="199">
        <f t="shared" si="104"/>
        <v>307300</v>
      </c>
    </row>
    <row r="313" spans="1:22" ht="12.75">
      <c r="A313" s="5"/>
      <c r="B313" s="88"/>
      <c r="C313" s="128"/>
      <c r="D313" s="127"/>
      <c r="E313" s="127"/>
      <c r="F313" s="127"/>
      <c r="G313" s="86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24"/>
      <c r="V313" s="21">
        <f t="shared" si="104"/>
        <v>0</v>
      </c>
    </row>
    <row r="314" spans="1:22" ht="89.25">
      <c r="A314" s="5" t="s">
        <v>42</v>
      </c>
      <c r="B314" s="35" t="s">
        <v>158</v>
      </c>
      <c r="C314" s="148" t="s">
        <v>27</v>
      </c>
      <c r="D314" s="161">
        <v>8800000000</v>
      </c>
      <c r="E314" s="117"/>
      <c r="F314" s="117"/>
      <c r="G314" s="37"/>
      <c r="H314" s="39">
        <f aca="true" t="shared" si="108" ref="H314:T314">H316+H330+H333</f>
        <v>5032540.18</v>
      </c>
      <c r="I314" s="39">
        <f t="shared" si="108"/>
        <v>381500</v>
      </c>
      <c r="J314" s="39">
        <f t="shared" si="108"/>
        <v>265560</v>
      </c>
      <c r="K314" s="39">
        <f t="shared" si="108"/>
        <v>288500</v>
      </c>
      <c r="L314" s="39">
        <f t="shared" si="108"/>
        <v>575340.1799999999</v>
      </c>
      <c r="M314" s="39">
        <f t="shared" si="108"/>
        <v>275385</v>
      </c>
      <c r="N314" s="39">
        <f t="shared" si="108"/>
        <v>238900</v>
      </c>
      <c r="O314" s="39">
        <f t="shared" si="108"/>
        <v>426500</v>
      </c>
      <c r="P314" s="39">
        <f t="shared" si="108"/>
        <v>375900</v>
      </c>
      <c r="Q314" s="39">
        <f t="shared" si="108"/>
        <v>376000</v>
      </c>
      <c r="R314" s="39">
        <f t="shared" si="108"/>
        <v>587415</v>
      </c>
      <c r="S314" s="39">
        <f t="shared" si="108"/>
        <v>515600</v>
      </c>
      <c r="T314" s="39">
        <f t="shared" si="108"/>
        <v>725940</v>
      </c>
      <c r="U314" s="24">
        <f>I314+J314+K314+L314+M314+N314+O314+P314+Q314+R314+S314+T314</f>
        <v>5032540.18</v>
      </c>
      <c r="V314" s="21">
        <f>V316+V333+V330</f>
        <v>5032540.18</v>
      </c>
    </row>
    <row r="315" spans="1:22" ht="12.75">
      <c r="A315" s="5"/>
      <c r="B315" s="71"/>
      <c r="C315" s="122"/>
      <c r="D315" s="123"/>
      <c r="E315" s="123"/>
      <c r="F315" s="123"/>
      <c r="G315" s="44"/>
      <c r="H315" s="77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24"/>
      <c r="V315" s="21">
        <f aca="true" t="shared" si="109" ref="V315:V332">SUM(I315:T315)</f>
        <v>0</v>
      </c>
    </row>
    <row r="316" spans="1:22" ht="89.25">
      <c r="A316" s="5" t="s">
        <v>42</v>
      </c>
      <c r="B316" s="35" t="s">
        <v>159</v>
      </c>
      <c r="C316" s="148" t="s">
        <v>27</v>
      </c>
      <c r="D316" s="161">
        <v>8810000000</v>
      </c>
      <c r="E316" s="117"/>
      <c r="F316" s="117"/>
      <c r="G316" s="37"/>
      <c r="H316" s="39">
        <f aca="true" t="shared" si="110" ref="H316:T316">H317+H318+H319+H320+H321+H322+H323+H324+H325+H326+H327+H328</f>
        <v>4606400</v>
      </c>
      <c r="I316" s="39">
        <f t="shared" si="110"/>
        <v>371500</v>
      </c>
      <c r="J316" s="39">
        <f t="shared" si="110"/>
        <v>255560</v>
      </c>
      <c r="K316" s="39">
        <f t="shared" si="110"/>
        <v>286300</v>
      </c>
      <c r="L316" s="39">
        <f t="shared" si="110"/>
        <v>427100</v>
      </c>
      <c r="M316" s="39">
        <f t="shared" si="110"/>
        <v>245385</v>
      </c>
      <c r="N316" s="39">
        <f t="shared" si="110"/>
        <v>222800</v>
      </c>
      <c r="O316" s="39">
        <f t="shared" si="110"/>
        <v>410400</v>
      </c>
      <c r="P316" s="39">
        <f t="shared" si="110"/>
        <v>359800</v>
      </c>
      <c r="Q316" s="39">
        <f t="shared" si="110"/>
        <v>359900</v>
      </c>
      <c r="R316" s="39">
        <f t="shared" si="110"/>
        <v>557415</v>
      </c>
      <c r="S316" s="39">
        <f t="shared" si="110"/>
        <v>499500</v>
      </c>
      <c r="T316" s="39">
        <f t="shared" si="110"/>
        <v>610740</v>
      </c>
      <c r="U316" s="24">
        <f aca="true" t="shared" si="111" ref="U316:U328">I316+J316+K316+L316+M316+N316+O316+P316+Q316+R316+S316+T316</f>
        <v>4606400</v>
      </c>
      <c r="V316" s="21">
        <f t="shared" si="109"/>
        <v>4606400</v>
      </c>
    </row>
    <row r="317" spans="1:22" ht="12.75">
      <c r="A317" s="5" t="s">
        <v>42</v>
      </c>
      <c r="B317" s="3" t="s">
        <v>7</v>
      </c>
      <c r="C317" s="164" t="s">
        <v>27</v>
      </c>
      <c r="D317" s="162">
        <v>8810100330</v>
      </c>
      <c r="E317" s="162">
        <v>611</v>
      </c>
      <c r="F317" s="162">
        <v>211</v>
      </c>
      <c r="G317" s="44"/>
      <c r="H317" s="78">
        <v>3203100</v>
      </c>
      <c r="I317" s="89">
        <f>254100+13700</f>
        <v>267800</v>
      </c>
      <c r="J317" s="89">
        <f>154700+13700</f>
        <v>168400</v>
      </c>
      <c r="K317" s="89">
        <f>204700+13700</f>
        <v>218400</v>
      </c>
      <c r="L317" s="89">
        <f>254700+13700</f>
        <v>268400</v>
      </c>
      <c r="M317" s="89">
        <f>154700+13700</f>
        <v>168400</v>
      </c>
      <c r="N317" s="89">
        <f>154700+13700</f>
        <v>168400</v>
      </c>
      <c r="O317" s="89">
        <f>254700+13700</f>
        <v>268400</v>
      </c>
      <c r="P317" s="89">
        <f>254700+13700</f>
        <v>268400</v>
      </c>
      <c r="Q317" s="89">
        <f>254700+13700</f>
        <v>268400</v>
      </c>
      <c r="R317" s="89">
        <f>354700+13700</f>
        <v>368400</v>
      </c>
      <c r="S317" s="89">
        <v>320000</v>
      </c>
      <c r="T317" s="89">
        <f>436000+13700</f>
        <v>449700</v>
      </c>
      <c r="U317" s="24">
        <f t="shared" si="111"/>
        <v>3203100</v>
      </c>
      <c r="V317" s="21">
        <f t="shared" si="109"/>
        <v>3203100</v>
      </c>
    </row>
    <row r="318" spans="1:22" ht="12.75">
      <c r="A318" s="5" t="s">
        <v>42</v>
      </c>
      <c r="B318" s="3" t="s">
        <v>9</v>
      </c>
      <c r="C318" s="164" t="s">
        <v>27</v>
      </c>
      <c r="D318" s="162">
        <v>8810100330</v>
      </c>
      <c r="E318" s="162">
        <v>611</v>
      </c>
      <c r="F318" s="162">
        <v>213</v>
      </c>
      <c r="G318" s="44"/>
      <c r="H318" s="78">
        <v>967300</v>
      </c>
      <c r="I318" s="89">
        <f>76400+4100</f>
        <v>80500</v>
      </c>
      <c r="J318" s="89">
        <f>58400+4100</f>
        <v>62500</v>
      </c>
      <c r="K318" s="89">
        <f>46400+4100</f>
        <v>50500</v>
      </c>
      <c r="L318" s="89">
        <f>76400+4100</f>
        <v>80500</v>
      </c>
      <c r="M318" s="89">
        <f>61785+4100</f>
        <v>65885</v>
      </c>
      <c r="N318" s="89">
        <f>39400+4100</f>
        <v>43500</v>
      </c>
      <c r="O318" s="89">
        <f>76400+4100</f>
        <v>80500</v>
      </c>
      <c r="P318" s="89">
        <f>76400+4100</f>
        <v>80500</v>
      </c>
      <c r="Q318" s="89">
        <f>76400+4100</f>
        <v>80500</v>
      </c>
      <c r="R318" s="89">
        <f>91015+4100</f>
        <v>95115</v>
      </c>
      <c r="S318" s="89">
        <v>148100</v>
      </c>
      <c r="T318" s="89">
        <f>95100+4100</f>
        <v>99200</v>
      </c>
      <c r="U318" s="24">
        <f t="shared" si="111"/>
        <v>967300</v>
      </c>
      <c r="V318" s="21">
        <f t="shared" si="109"/>
        <v>967300</v>
      </c>
    </row>
    <row r="319" spans="1:22" ht="12.75" hidden="1">
      <c r="A319" s="5" t="s">
        <v>42</v>
      </c>
      <c r="B319" s="3" t="s">
        <v>15</v>
      </c>
      <c r="C319" s="128" t="s">
        <v>27</v>
      </c>
      <c r="D319" s="127">
        <v>8810100330</v>
      </c>
      <c r="E319" s="127">
        <v>611</v>
      </c>
      <c r="F319" s="127">
        <v>226</v>
      </c>
      <c r="G319" s="44"/>
      <c r="H319" s="78">
        <v>0</v>
      </c>
      <c r="I319" s="89">
        <v>0</v>
      </c>
      <c r="J319" s="89">
        <v>0</v>
      </c>
      <c r="K319" s="89">
        <v>0</v>
      </c>
      <c r="L319" s="89">
        <v>0</v>
      </c>
      <c r="M319" s="89">
        <v>0</v>
      </c>
      <c r="N319" s="89">
        <v>0</v>
      </c>
      <c r="O319" s="89">
        <v>0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24">
        <f t="shared" si="111"/>
        <v>0</v>
      </c>
      <c r="V319" s="21">
        <f t="shared" si="109"/>
        <v>0</v>
      </c>
    </row>
    <row r="320" spans="1:22" ht="12.75">
      <c r="A320" s="96" t="s">
        <v>42</v>
      </c>
      <c r="B320" s="97" t="s">
        <v>12</v>
      </c>
      <c r="C320" s="164" t="s">
        <v>27</v>
      </c>
      <c r="D320" s="162">
        <v>8810100330</v>
      </c>
      <c r="E320" s="162">
        <v>611</v>
      </c>
      <c r="F320" s="162">
        <v>221</v>
      </c>
      <c r="G320" s="85" t="s">
        <v>96</v>
      </c>
      <c r="H320" s="78">
        <v>30000</v>
      </c>
      <c r="I320" s="89">
        <v>1500</v>
      </c>
      <c r="J320" s="89">
        <v>2500</v>
      </c>
      <c r="K320" s="89">
        <v>2500</v>
      </c>
      <c r="L320" s="89">
        <v>2500</v>
      </c>
      <c r="M320" s="89">
        <v>2500</v>
      </c>
      <c r="N320" s="89">
        <v>2500</v>
      </c>
      <c r="O320" s="89">
        <v>2500</v>
      </c>
      <c r="P320" s="89">
        <v>2500</v>
      </c>
      <c r="Q320" s="89">
        <v>2500</v>
      </c>
      <c r="R320" s="89">
        <v>2500</v>
      </c>
      <c r="S320" s="89">
        <v>2500</v>
      </c>
      <c r="T320" s="89">
        <v>3500</v>
      </c>
      <c r="U320" s="24">
        <f t="shared" si="111"/>
        <v>30000</v>
      </c>
      <c r="V320" s="21">
        <f t="shared" si="109"/>
        <v>30000</v>
      </c>
    </row>
    <row r="321" spans="1:22" ht="12.75">
      <c r="A321" s="96" t="s">
        <v>42</v>
      </c>
      <c r="B321" s="97" t="s">
        <v>12</v>
      </c>
      <c r="C321" s="164" t="s">
        <v>27</v>
      </c>
      <c r="D321" s="162">
        <v>8810100330</v>
      </c>
      <c r="E321" s="162">
        <v>611</v>
      </c>
      <c r="F321" s="162">
        <v>221</v>
      </c>
      <c r="G321" s="85" t="s">
        <v>97</v>
      </c>
      <c r="H321" s="78">
        <v>29000</v>
      </c>
      <c r="I321" s="89">
        <v>2400</v>
      </c>
      <c r="J321" s="89">
        <v>2400</v>
      </c>
      <c r="K321" s="89">
        <v>2400</v>
      </c>
      <c r="L321" s="89">
        <v>2400</v>
      </c>
      <c r="M321" s="89">
        <v>2400</v>
      </c>
      <c r="N321" s="89">
        <v>2400</v>
      </c>
      <c r="O321" s="89">
        <v>2400</v>
      </c>
      <c r="P321" s="89">
        <v>2400</v>
      </c>
      <c r="Q321" s="89">
        <v>2400</v>
      </c>
      <c r="R321" s="89">
        <v>2400</v>
      </c>
      <c r="S321" s="89">
        <v>2400</v>
      </c>
      <c r="T321" s="89">
        <v>2600</v>
      </c>
      <c r="U321" s="24">
        <f t="shared" si="111"/>
        <v>29000</v>
      </c>
      <c r="V321" s="21">
        <f t="shared" si="109"/>
        <v>29000</v>
      </c>
    </row>
    <row r="322" spans="1:22" ht="12.75">
      <c r="A322" s="5" t="s">
        <v>42</v>
      </c>
      <c r="B322" s="3" t="s">
        <v>13</v>
      </c>
      <c r="C322" s="164" t="s">
        <v>27</v>
      </c>
      <c r="D322" s="162">
        <v>8810100330</v>
      </c>
      <c r="E322" s="162">
        <v>611</v>
      </c>
      <c r="F322" s="162">
        <v>223</v>
      </c>
      <c r="G322" s="85" t="s">
        <v>98</v>
      </c>
      <c r="H322" s="78">
        <v>72000</v>
      </c>
      <c r="I322" s="89">
        <v>6500</v>
      </c>
      <c r="J322" s="89">
        <v>8000</v>
      </c>
      <c r="K322" s="89">
        <v>8000</v>
      </c>
      <c r="L322" s="89">
        <v>6000</v>
      </c>
      <c r="M322" s="89">
        <v>5000</v>
      </c>
      <c r="N322" s="89">
        <v>3000</v>
      </c>
      <c r="O322" s="89">
        <v>3000</v>
      </c>
      <c r="P322" s="89">
        <v>3000</v>
      </c>
      <c r="Q322" s="89">
        <v>5000</v>
      </c>
      <c r="R322" s="89">
        <v>8000</v>
      </c>
      <c r="S322" s="89">
        <v>8000</v>
      </c>
      <c r="T322" s="89">
        <v>8500</v>
      </c>
      <c r="U322" s="24">
        <f t="shared" si="111"/>
        <v>72000</v>
      </c>
      <c r="V322" s="21">
        <f t="shared" si="109"/>
        <v>72000</v>
      </c>
    </row>
    <row r="323" spans="1:22" ht="12.75">
      <c r="A323" s="5" t="s">
        <v>42</v>
      </c>
      <c r="B323" s="3" t="s">
        <v>13</v>
      </c>
      <c r="C323" s="164" t="s">
        <v>27</v>
      </c>
      <c r="D323" s="162">
        <v>8810100330</v>
      </c>
      <c r="E323" s="162">
        <v>611</v>
      </c>
      <c r="F323" s="162">
        <v>223</v>
      </c>
      <c r="G323" s="85" t="s">
        <v>43</v>
      </c>
      <c r="H323" s="78">
        <v>19000</v>
      </c>
      <c r="I323" s="89">
        <v>1000</v>
      </c>
      <c r="J323" s="89">
        <v>1000</v>
      </c>
      <c r="K323" s="89">
        <v>1000</v>
      </c>
      <c r="L323" s="89">
        <v>1200</v>
      </c>
      <c r="M323" s="89">
        <v>1200</v>
      </c>
      <c r="N323" s="89">
        <v>3000</v>
      </c>
      <c r="O323" s="89">
        <v>3000</v>
      </c>
      <c r="P323" s="89">
        <v>3000</v>
      </c>
      <c r="Q323" s="89">
        <v>1100</v>
      </c>
      <c r="R323" s="89">
        <v>1000</v>
      </c>
      <c r="S323" s="89">
        <v>1000</v>
      </c>
      <c r="T323" s="89">
        <v>1500</v>
      </c>
      <c r="U323" s="24">
        <f t="shared" si="111"/>
        <v>19000</v>
      </c>
      <c r="V323" s="21">
        <f t="shared" si="109"/>
        <v>19000</v>
      </c>
    </row>
    <row r="324" spans="1:22" ht="12.75">
      <c r="A324" s="5" t="s">
        <v>42</v>
      </c>
      <c r="B324" s="3" t="s">
        <v>13</v>
      </c>
      <c r="C324" s="164" t="s">
        <v>27</v>
      </c>
      <c r="D324" s="162">
        <v>8810100330</v>
      </c>
      <c r="E324" s="162">
        <v>611</v>
      </c>
      <c r="F324" s="162">
        <v>223</v>
      </c>
      <c r="G324" s="85" t="s">
        <v>45</v>
      </c>
      <c r="H324" s="78">
        <v>80000</v>
      </c>
      <c r="I324" s="89">
        <v>11800</v>
      </c>
      <c r="J324" s="89">
        <v>10760</v>
      </c>
      <c r="K324" s="89">
        <v>3500</v>
      </c>
      <c r="L324" s="89">
        <v>6500</v>
      </c>
      <c r="M324" s="89">
        <v>0</v>
      </c>
      <c r="N324" s="89">
        <v>0</v>
      </c>
      <c r="O324" s="89">
        <v>0</v>
      </c>
      <c r="P324" s="89">
        <v>0</v>
      </c>
      <c r="Q324" s="89">
        <v>0</v>
      </c>
      <c r="R324" s="89">
        <v>9600</v>
      </c>
      <c r="S324" s="89">
        <v>17500</v>
      </c>
      <c r="T324" s="89">
        <v>20340</v>
      </c>
      <c r="U324" s="24">
        <f t="shared" si="111"/>
        <v>80000</v>
      </c>
      <c r="V324" s="21">
        <f t="shared" si="109"/>
        <v>80000</v>
      </c>
    </row>
    <row r="325" spans="1:22" ht="25.5">
      <c r="A325" s="5" t="s">
        <v>42</v>
      </c>
      <c r="B325" s="72" t="s">
        <v>71</v>
      </c>
      <c r="C325" s="164" t="s">
        <v>27</v>
      </c>
      <c r="D325" s="162">
        <v>8810100330</v>
      </c>
      <c r="E325" s="162">
        <v>611</v>
      </c>
      <c r="F325" s="162">
        <v>225</v>
      </c>
      <c r="G325" s="85"/>
      <c r="H325" s="78">
        <v>54000</v>
      </c>
      <c r="I325" s="78">
        <v>0</v>
      </c>
      <c r="J325" s="78">
        <v>0</v>
      </c>
      <c r="K325" s="78">
        <v>0</v>
      </c>
      <c r="L325" s="78">
        <v>29000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25000</v>
      </c>
      <c r="S325" s="78">
        <v>0</v>
      </c>
      <c r="T325" s="78">
        <v>0</v>
      </c>
      <c r="U325" s="24">
        <f t="shared" si="111"/>
        <v>54000</v>
      </c>
      <c r="V325" s="21">
        <f t="shared" si="109"/>
        <v>54000</v>
      </c>
    </row>
    <row r="326" spans="1:22" ht="12.75">
      <c r="A326" s="5" t="s">
        <v>42</v>
      </c>
      <c r="B326" s="3" t="s">
        <v>16</v>
      </c>
      <c r="C326" s="164" t="s">
        <v>27</v>
      </c>
      <c r="D326" s="162">
        <v>8810100330</v>
      </c>
      <c r="E326" s="162">
        <v>611</v>
      </c>
      <c r="F326" s="162">
        <v>290</v>
      </c>
      <c r="G326" s="85" t="s">
        <v>60</v>
      </c>
      <c r="H326" s="78">
        <v>102000</v>
      </c>
      <c r="I326" s="89">
        <v>0</v>
      </c>
      <c r="J326" s="89">
        <v>0</v>
      </c>
      <c r="K326" s="89">
        <v>0</v>
      </c>
      <c r="L326" s="89">
        <v>25600</v>
      </c>
      <c r="M326" s="89">
        <v>0</v>
      </c>
      <c r="N326" s="89">
        <v>0</v>
      </c>
      <c r="O326" s="89">
        <v>25600</v>
      </c>
      <c r="P326" s="89">
        <v>0</v>
      </c>
      <c r="Q326" s="89">
        <v>0</v>
      </c>
      <c r="R326" s="89">
        <v>25400</v>
      </c>
      <c r="S326" s="89">
        <v>0</v>
      </c>
      <c r="T326" s="89">
        <v>25400</v>
      </c>
      <c r="U326" s="24">
        <f t="shared" si="111"/>
        <v>102000</v>
      </c>
      <c r="V326" s="21">
        <f t="shared" si="109"/>
        <v>102000</v>
      </c>
    </row>
    <row r="327" spans="1:22" ht="12.75" hidden="1">
      <c r="A327" s="5" t="s">
        <v>42</v>
      </c>
      <c r="B327" s="3" t="s">
        <v>18</v>
      </c>
      <c r="C327" s="128" t="s">
        <v>27</v>
      </c>
      <c r="D327" s="127">
        <v>8810100330</v>
      </c>
      <c r="E327" s="127">
        <v>611</v>
      </c>
      <c r="F327" s="127">
        <v>310</v>
      </c>
      <c r="G327" s="85"/>
      <c r="H327" s="78">
        <v>0</v>
      </c>
      <c r="I327" s="89">
        <v>0</v>
      </c>
      <c r="J327" s="89">
        <v>0</v>
      </c>
      <c r="K327" s="89">
        <v>0</v>
      </c>
      <c r="L327" s="89">
        <v>0</v>
      </c>
      <c r="M327" s="89">
        <v>0</v>
      </c>
      <c r="N327" s="89">
        <v>0</v>
      </c>
      <c r="O327" s="89">
        <v>0</v>
      </c>
      <c r="P327" s="89">
        <v>0</v>
      </c>
      <c r="Q327" s="89">
        <v>0</v>
      </c>
      <c r="R327" s="89">
        <v>0</v>
      </c>
      <c r="S327" s="89">
        <v>0</v>
      </c>
      <c r="T327" s="89">
        <v>0</v>
      </c>
      <c r="U327" s="24">
        <f t="shared" si="111"/>
        <v>0</v>
      </c>
      <c r="V327" s="21">
        <f t="shared" si="109"/>
        <v>0</v>
      </c>
    </row>
    <row r="328" spans="1:22" ht="12.75">
      <c r="A328" s="5" t="s">
        <v>42</v>
      </c>
      <c r="B328" s="3" t="s">
        <v>17</v>
      </c>
      <c r="C328" s="164" t="s">
        <v>27</v>
      </c>
      <c r="D328" s="162">
        <v>8810100330</v>
      </c>
      <c r="E328" s="162">
        <v>611</v>
      </c>
      <c r="F328" s="162">
        <v>340</v>
      </c>
      <c r="G328" s="85"/>
      <c r="H328" s="78">
        <v>50000</v>
      </c>
      <c r="I328" s="89">
        <v>0</v>
      </c>
      <c r="J328" s="89">
        <v>0</v>
      </c>
      <c r="K328" s="89">
        <v>0</v>
      </c>
      <c r="L328" s="89">
        <v>5000</v>
      </c>
      <c r="M328" s="89">
        <v>0</v>
      </c>
      <c r="N328" s="89">
        <v>0</v>
      </c>
      <c r="O328" s="89">
        <v>25000</v>
      </c>
      <c r="P328" s="89">
        <v>0</v>
      </c>
      <c r="Q328" s="89">
        <v>0</v>
      </c>
      <c r="R328" s="89">
        <v>20000</v>
      </c>
      <c r="S328" s="89">
        <v>0</v>
      </c>
      <c r="T328" s="89">
        <v>0</v>
      </c>
      <c r="U328" s="24">
        <f t="shared" si="111"/>
        <v>50000</v>
      </c>
      <c r="V328" s="21">
        <f t="shared" si="109"/>
        <v>50000</v>
      </c>
    </row>
    <row r="329" spans="1:22" ht="12.75">
      <c r="A329" s="98"/>
      <c r="B329" s="72"/>
      <c r="C329" s="128"/>
      <c r="D329" s="127"/>
      <c r="E329" s="127"/>
      <c r="F329" s="127"/>
      <c r="G329" s="85"/>
      <c r="H329" s="78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24"/>
      <c r="V329" s="21">
        <f t="shared" si="109"/>
        <v>0</v>
      </c>
    </row>
    <row r="330" spans="1:22" ht="66" customHeight="1">
      <c r="A330" s="5" t="s">
        <v>42</v>
      </c>
      <c r="B330" s="35" t="s">
        <v>160</v>
      </c>
      <c r="C330" s="148" t="s">
        <v>27</v>
      </c>
      <c r="D330" s="161">
        <v>8820000000</v>
      </c>
      <c r="E330" s="161"/>
      <c r="F330" s="161"/>
      <c r="G330" s="37"/>
      <c r="H330" s="39">
        <f aca="true" t="shared" si="112" ref="H330:T330">H331</f>
        <v>234000</v>
      </c>
      <c r="I330" s="39">
        <f t="shared" si="112"/>
        <v>10000</v>
      </c>
      <c r="J330" s="39">
        <f t="shared" si="112"/>
        <v>10000</v>
      </c>
      <c r="K330" s="39">
        <f t="shared" si="112"/>
        <v>2200</v>
      </c>
      <c r="L330" s="39">
        <f t="shared" si="112"/>
        <v>16100</v>
      </c>
      <c r="M330" s="39">
        <f t="shared" si="112"/>
        <v>30000</v>
      </c>
      <c r="N330" s="39">
        <f t="shared" si="112"/>
        <v>16100</v>
      </c>
      <c r="O330" s="39">
        <f t="shared" si="112"/>
        <v>16100</v>
      </c>
      <c r="P330" s="39">
        <f t="shared" si="112"/>
        <v>16100</v>
      </c>
      <c r="Q330" s="39">
        <f t="shared" si="112"/>
        <v>16100</v>
      </c>
      <c r="R330" s="39">
        <f t="shared" si="112"/>
        <v>30000</v>
      </c>
      <c r="S330" s="39">
        <f t="shared" si="112"/>
        <v>16100</v>
      </c>
      <c r="T330" s="39">
        <f t="shared" si="112"/>
        <v>55200</v>
      </c>
      <c r="U330" s="24">
        <f>I330+J330+K330+L330+M330+N330+O330+P330+Q330+R330+S330+T330</f>
        <v>234000</v>
      </c>
      <c r="V330" s="21">
        <f t="shared" si="109"/>
        <v>234000</v>
      </c>
    </row>
    <row r="331" spans="1:22" ht="14.25" customHeight="1">
      <c r="A331" s="5" t="s">
        <v>42</v>
      </c>
      <c r="B331" s="3" t="s">
        <v>16</v>
      </c>
      <c r="C331" s="164" t="s">
        <v>27</v>
      </c>
      <c r="D331" s="162">
        <v>8820100340</v>
      </c>
      <c r="E331" s="162">
        <v>611</v>
      </c>
      <c r="F331" s="162">
        <v>290</v>
      </c>
      <c r="G331" s="86"/>
      <c r="H331" s="89">
        <v>234000</v>
      </c>
      <c r="I331" s="89">
        <v>10000</v>
      </c>
      <c r="J331" s="89">
        <v>10000</v>
      </c>
      <c r="K331" s="89">
        <v>2200</v>
      </c>
      <c r="L331" s="89">
        <v>16100</v>
      </c>
      <c r="M331" s="89">
        <v>30000</v>
      </c>
      <c r="N331" s="89">
        <v>16100</v>
      </c>
      <c r="O331" s="89">
        <v>16100</v>
      </c>
      <c r="P331" s="89">
        <v>16100</v>
      </c>
      <c r="Q331" s="89">
        <v>16100</v>
      </c>
      <c r="R331" s="89">
        <v>30000</v>
      </c>
      <c r="S331" s="89">
        <v>16100</v>
      </c>
      <c r="T331" s="89">
        <v>55200</v>
      </c>
      <c r="U331" s="24">
        <f>I331+J331+K331+L331+M331+N331+O331+P331+Q331+R331+S331+T331</f>
        <v>234000</v>
      </c>
      <c r="V331" s="21">
        <f t="shared" si="109"/>
        <v>234000</v>
      </c>
    </row>
    <row r="332" spans="1:22" ht="12.75">
      <c r="A332" s="5"/>
      <c r="B332" s="88"/>
      <c r="C332" s="128"/>
      <c r="D332" s="127"/>
      <c r="E332" s="127"/>
      <c r="F332" s="127"/>
      <c r="G332" s="86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24"/>
      <c r="V332" s="21">
        <f t="shared" si="109"/>
        <v>0</v>
      </c>
    </row>
    <row r="333" spans="1:22" ht="89.25">
      <c r="A333" s="5" t="s">
        <v>42</v>
      </c>
      <c r="B333" s="35" t="s">
        <v>161</v>
      </c>
      <c r="C333" s="148" t="s">
        <v>27</v>
      </c>
      <c r="D333" s="161">
        <v>8830000000</v>
      </c>
      <c r="E333" s="124"/>
      <c r="F333" s="124"/>
      <c r="G333" s="183"/>
      <c r="H333" s="39">
        <f>H334+H335</f>
        <v>192140.18</v>
      </c>
      <c r="I333" s="39">
        <f aca="true" t="shared" si="113" ref="I333:S333">I334</f>
        <v>0</v>
      </c>
      <c r="J333" s="39">
        <f t="shared" si="113"/>
        <v>0</v>
      </c>
      <c r="K333" s="39">
        <f t="shared" si="113"/>
        <v>0</v>
      </c>
      <c r="L333" s="39">
        <f t="shared" si="113"/>
        <v>132140.18</v>
      </c>
      <c r="M333" s="39">
        <f t="shared" si="113"/>
        <v>0</v>
      </c>
      <c r="N333" s="39">
        <f t="shared" si="113"/>
        <v>0</v>
      </c>
      <c r="O333" s="39">
        <f t="shared" si="113"/>
        <v>0</v>
      </c>
      <c r="P333" s="39">
        <f t="shared" si="113"/>
        <v>0</v>
      </c>
      <c r="Q333" s="39">
        <f t="shared" si="113"/>
        <v>0</v>
      </c>
      <c r="R333" s="39">
        <f t="shared" si="113"/>
        <v>0</v>
      </c>
      <c r="S333" s="39">
        <f t="shared" si="113"/>
        <v>0</v>
      </c>
      <c r="T333" s="39">
        <f>T334+T335</f>
        <v>60000</v>
      </c>
      <c r="U333" s="24">
        <f>I333+J333+K333+L333+M333+N333+O333+P333+Q333+R333+S333+T333</f>
        <v>192140.18</v>
      </c>
      <c r="V333" s="21">
        <f>V334+V335</f>
        <v>192140.18</v>
      </c>
    </row>
    <row r="334" spans="1:22" ht="12.75">
      <c r="A334" s="5" t="s">
        <v>42</v>
      </c>
      <c r="B334" s="3" t="s">
        <v>16</v>
      </c>
      <c r="C334" s="164" t="s">
        <v>27</v>
      </c>
      <c r="D334" s="162">
        <v>8830110390</v>
      </c>
      <c r="E334" s="162">
        <v>414</v>
      </c>
      <c r="F334" s="162">
        <v>290</v>
      </c>
      <c r="G334" s="86"/>
      <c r="H334" s="89">
        <v>132140.18</v>
      </c>
      <c r="I334" s="89">
        <v>0</v>
      </c>
      <c r="J334" s="89">
        <v>0</v>
      </c>
      <c r="K334" s="89">
        <v>0</v>
      </c>
      <c r="L334" s="89">
        <v>132140.18</v>
      </c>
      <c r="M334" s="89">
        <v>0</v>
      </c>
      <c r="N334" s="89">
        <v>0</v>
      </c>
      <c r="O334" s="89">
        <v>0</v>
      </c>
      <c r="P334" s="89">
        <v>0</v>
      </c>
      <c r="Q334" s="89">
        <v>0</v>
      </c>
      <c r="R334" s="89">
        <v>0</v>
      </c>
      <c r="S334" s="89">
        <v>0</v>
      </c>
      <c r="T334" s="89">
        <v>0</v>
      </c>
      <c r="U334" s="24">
        <f>I334+J334+K334+L334+M334+N334+O334+P334+Q334+R334+S334+T334</f>
        <v>132140.18</v>
      </c>
      <c r="V334" s="21">
        <f aca="true" t="shared" si="114" ref="V334:V347">SUM(I334:T334)</f>
        <v>132140.18</v>
      </c>
    </row>
    <row r="335" spans="1:22" ht="12.75">
      <c r="A335" s="5"/>
      <c r="B335" s="88"/>
      <c r="C335" s="128"/>
      <c r="D335" s="127"/>
      <c r="E335" s="162">
        <v>244</v>
      </c>
      <c r="F335" s="162">
        <v>226</v>
      </c>
      <c r="G335" s="86"/>
      <c r="H335" s="89">
        <v>60000</v>
      </c>
      <c r="I335" s="89">
        <v>0</v>
      </c>
      <c r="J335" s="89">
        <v>0</v>
      </c>
      <c r="K335" s="89">
        <v>0</v>
      </c>
      <c r="L335" s="89">
        <v>0</v>
      </c>
      <c r="M335" s="89">
        <v>0</v>
      </c>
      <c r="N335" s="89">
        <v>0</v>
      </c>
      <c r="O335" s="89">
        <v>0</v>
      </c>
      <c r="P335" s="89">
        <v>0</v>
      </c>
      <c r="Q335" s="89">
        <v>0</v>
      </c>
      <c r="R335" s="89">
        <v>0</v>
      </c>
      <c r="S335" s="89">
        <v>0</v>
      </c>
      <c r="T335" s="89">
        <v>60000</v>
      </c>
      <c r="U335" s="24"/>
      <c r="V335" s="21">
        <f t="shared" si="114"/>
        <v>60000</v>
      </c>
    </row>
    <row r="336" spans="1:22" ht="89.25">
      <c r="A336" s="5" t="s">
        <v>42</v>
      </c>
      <c r="B336" s="35" t="s">
        <v>154</v>
      </c>
      <c r="C336" s="148" t="s">
        <v>27</v>
      </c>
      <c r="D336" s="161">
        <v>8400000000</v>
      </c>
      <c r="E336" s="161"/>
      <c r="F336" s="161"/>
      <c r="G336" s="37"/>
      <c r="H336" s="39">
        <f aca="true" t="shared" si="115" ref="H336:T336">H337</f>
        <v>10000</v>
      </c>
      <c r="I336" s="39">
        <f t="shared" si="115"/>
        <v>0</v>
      </c>
      <c r="J336" s="39">
        <f t="shared" si="115"/>
        <v>0</v>
      </c>
      <c r="K336" s="39">
        <f t="shared" si="115"/>
        <v>0</v>
      </c>
      <c r="L336" s="39">
        <f t="shared" si="115"/>
        <v>0</v>
      </c>
      <c r="M336" s="39">
        <f t="shared" si="115"/>
        <v>0</v>
      </c>
      <c r="N336" s="39">
        <f t="shared" si="115"/>
        <v>0</v>
      </c>
      <c r="O336" s="39">
        <f t="shared" si="115"/>
        <v>10000</v>
      </c>
      <c r="P336" s="39">
        <f t="shared" si="115"/>
        <v>0</v>
      </c>
      <c r="Q336" s="39">
        <f t="shared" si="115"/>
        <v>0</v>
      </c>
      <c r="R336" s="39">
        <f t="shared" si="115"/>
        <v>0</v>
      </c>
      <c r="S336" s="39">
        <f t="shared" si="115"/>
        <v>0</v>
      </c>
      <c r="T336" s="39">
        <f t="shared" si="115"/>
        <v>0</v>
      </c>
      <c r="U336" s="24">
        <f>I336+J336+K336+L336+M336+N336+O336+P336+Q336+R336+S336+T336</f>
        <v>10000</v>
      </c>
      <c r="V336" s="21">
        <f t="shared" si="114"/>
        <v>10000</v>
      </c>
    </row>
    <row r="337" spans="1:22" ht="12.75">
      <c r="A337" s="5" t="s">
        <v>42</v>
      </c>
      <c r="B337" s="3" t="s">
        <v>16</v>
      </c>
      <c r="C337" s="164" t="s">
        <v>27</v>
      </c>
      <c r="D337" s="162">
        <v>8410110290</v>
      </c>
      <c r="E337" s="162">
        <v>611</v>
      </c>
      <c r="F337" s="162">
        <v>290</v>
      </c>
      <c r="G337" s="86"/>
      <c r="H337" s="89">
        <v>10000</v>
      </c>
      <c r="I337" s="89">
        <v>0</v>
      </c>
      <c r="J337" s="89">
        <v>0</v>
      </c>
      <c r="K337" s="89">
        <v>0</v>
      </c>
      <c r="L337" s="89">
        <v>0</v>
      </c>
      <c r="M337" s="89">
        <v>0</v>
      </c>
      <c r="N337" s="89">
        <v>0</v>
      </c>
      <c r="O337" s="89">
        <v>10000</v>
      </c>
      <c r="P337" s="89">
        <v>0</v>
      </c>
      <c r="Q337" s="89">
        <v>0</v>
      </c>
      <c r="R337" s="89">
        <v>0</v>
      </c>
      <c r="S337" s="89">
        <v>0</v>
      </c>
      <c r="T337" s="89">
        <v>0</v>
      </c>
      <c r="U337" s="24">
        <f>I337+J337+K337+L337+M337+N337+O337+P337+Q337+R337+S337+T337</f>
        <v>10000</v>
      </c>
      <c r="V337" s="21">
        <f t="shared" si="114"/>
        <v>10000</v>
      </c>
    </row>
    <row r="338" spans="1:22" ht="12.75">
      <c r="A338" s="5"/>
      <c r="B338" s="88"/>
      <c r="C338" s="128"/>
      <c r="D338" s="127"/>
      <c r="E338" s="127"/>
      <c r="F338" s="127"/>
      <c r="G338" s="86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24"/>
      <c r="V338" s="21">
        <f t="shared" si="114"/>
        <v>0</v>
      </c>
    </row>
    <row r="339" spans="1:22" ht="12.75">
      <c r="A339" s="5"/>
      <c r="B339" s="29" t="s">
        <v>53</v>
      </c>
      <c r="C339" s="180" t="s">
        <v>27</v>
      </c>
      <c r="D339" s="127"/>
      <c r="E339" s="127"/>
      <c r="F339" s="127"/>
      <c r="G339" s="86"/>
      <c r="H339" s="92">
        <f aca="true" t="shared" si="116" ref="H339:T339">H314+H336</f>
        <v>5042540.18</v>
      </c>
      <c r="I339" s="91">
        <f t="shared" si="116"/>
        <v>381500</v>
      </c>
      <c r="J339" s="91">
        <f t="shared" si="116"/>
        <v>265560</v>
      </c>
      <c r="K339" s="91">
        <f t="shared" si="116"/>
        <v>288500</v>
      </c>
      <c r="L339" s="91">
        <f t="shared" si="116"/>
        <v>575340.1799999999</v>
      </c>
      <c r="M339" s="91">
        <f t="shared" si="116"/>
        <v>275385</v>
      </c>
      <c r="N339" s="91">
        <f t="shared" si="116"/>
        <v>238900</v>
      </c>
      <c r="O339" s="91">
        <f t="shared" si="116"/>
        <v>436500</v>
      </c>
      <c r="P339" s="91">
        <f t="shared" si="116"/>
        <v>375900</v>
      </c>
      <c r="Q339" s="91">
        <f t="shared" si="116"/>
        <v>376000</v>
      </c>
      <c r="R339" s="91">
        <f t="shared" si="116"/>
        <v>587415</v>
      </c>
      <c r="S339" s="91">
        <f t="shared" si="116"/>
        <v>515600</v>
      </c>
      <c r="T339" s="91">
        <f t="shared" si="116"/>
        <v>725940</v>
      </c>
      <c r="U339" s="24">
        <f aca="true" t="shared" si="117" ref="U339:U345">I339+J339+K339+L339+M339+N339+O339+P339+Q339+R339+S339+T339</f>
        <v>5042540.18</v>
      </c>
      <c r="V339" s="21">
        <f t="shared" si="114"/>
        <v>5042540.18</v>
      </c>
    </row>
    <row r="340" spans="1:22" ht="12.75">
      <c r="A340" s="5"/>
      <c r="B340" s="76"/>
      <c r="C340" s="136"/>
      <c r="D340" s="127"/>
      <c r="E340" s="127"/>
      <c r="F340" s="127"/>
      <c r="G340" s="86"/>
      <c r="H340" s="92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24">
        <f t="shared" si="117"/>
        <v>0</v>
      </c>
      <c r="V340" s="21">
        <f t="shared" si="114"/>
        <v>0</v>
      </c>
    </row>
    <row r="341" spans="1:22" ht="38.25" hidden="1">
      <c r="A341" s="5" t="s">
        <v>42</v>
      </c>
      <c r="B341" s="110" t="s">
        <v>109</v>
      </c>
      <c r="C341" s="116" t="s">
        <v>110</v>
      </c>
      <c r="D341" s="117">
        <v>9510010520</v>
      </c>
      <c r="E341" s="117"/>
      <c r="F341" s="117"/>
      <c r="G341" s="111"/>
      <c r="H341" s="112">
        <f aca="true" t="shared" si="118" ref="H341:T341">H342</f>
        <v>0</v>
      </c>
      <c r="I341" s="112">
        <f t="shared" si="118"/>
        <v>0</v>
      </c>
      <c r="J341" s="112">
        <f t="shared" si="118"/>
        <v>0</v>
      </c>
      <c r="K341" s="112">
        <f t="shared" si="118"/>
        <v>0</v>
      </c>
      <c r="L341" s="112">
        <f t="shared" si="118"/>
        <v>0</v>
      </c>
      <c r="M341" s="112">
        <f t="shared" si="118"/>
        <v>0</v>
      </c>
      <c r="N341" s="112">
        <f t="shared" si="118"/>
        <v>0</v>
      </c>
      <c r="O341" s="112">
        <f t="shared" si="118"/>
        <v>0</v>
      </c>
      <c r="P341" s="112">
        <f t="shared" si="118"/>
        <v>0</v>
      </c>
      <c r="Q341" s="112">
        <f t="shared" si="118"/>
        <v>0</v>
      </c>
      <c r="R341" s="112">
        <f t="shared" si="118"/>
        <v>0</v>
      </c>
      <c r="S341" s="112">
        <f t="shared" si="118"/>
        <v>0</v>
      </c>
      <c r="T341" s="112">
        <f t="shared" si="118"/>
        <v>0</v>
      </c>
      <c r="U341" s="24">
        <f t="shared" si="117"/>
        <v>0</v>
      </c>
      <c r="V341" s="21">
        <f t="shared" si="114"/>
        <v>0</v>
      </c>
    </row>
    <row r="342" spans="1:22" ht="25.5" hidden="1">
      <c r="A342" s="5" t="s">
        <v>42</v>
      </c>
      <c r="B342" s="3" t="s">
        <v>16</v>
      </c>
      <c r="C342" s="142" t="s">
        <v>110</v>
      </c>
      <c r="D342" s="127">
        <v>9510010520</v>
      </c>
      <c r="E342" s="127">
        <v>870</v>
      </c>
      <c r="F342" s="127">
        <v>290</v>
      </c>
      <c r="G342" s="109" t="s">
        <v>111</v>
      </c>
      <c r="H342" s="89">
        <v>0</v>
      </c>
      <c r="I342" s="89">
        <v>0</v>
      </c>
      <c r="J342" s="89">
        <v>0</v>
      </c>
      <c r="K342" s="89">
        <v>0</v>
      </c>
      <c r="L342" s="89">
        <v>0</v>
      </c>
      <c r="M342" s="89">
        <v>0</v>
      </c>
      <c r="N342" s="89">
        <v>0</v>
      </c>
      <c r="O342" s="89">
        <v>0</v>
      </c>
      <c r="P342" s="89">
        <v>0</v>
      </c>
      <c r="Q342" s="89">
        <v>0</v>
      </c>
      <c r="R342" s="89">
        <v>0</v>
      </c>
      <c r="S342" s="89">
        <v>0</v>
      </c>
      <c r="T342" s="89">
        <v>0</v>
      </c>
      <c r="U342" s="24">
        <f t="shared" si="117"/>
        <v>0</v>
      </c>
      <c r="V342" s="21">
        <f t="shared" si="114"/>
        <v>0</v>
      </c>
    </row>
    <row r="343" spans="1:22" ht="12.75">
      <c r="A343" s="5"/>
      <c r="B343" s="76"/>
      <c r="C343" s="136"/>
      <c r="D343" s="127"/>
      <c r="E343" s="127"/>
      <c r="F343" s="127"/>
      <c r="G343" s="86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24">
        <f t="shared" si="117"/>
        <v>0</v>
      </c>
      <c r="V343" s="21">
        <f t="shared" si="114"/>
        <v>0</v>
      </c>
    </row>
    <row r="344" spans="1:22" ht="12.75">
      <c r="A344" s="5"/>
      <c r="B344" s="76"/>
      <c r="C344" s="136"/>
      <c r="D344" s="127"/>
      <c r="E344" s="127"/>
      <c r="F344" s="127"/>
      <c r="G344" s="86"/>
      <c r="H344" s="91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24">
        <f t="shared" si="117"/>
        <v>0</v>
      </c>
      <c r="V344" s="21">
        <f t="shared" si="114"/>
        <v>0</v>
      </c>
    </row>
    <row r="345" spans="1:22" ht="12.75">
      <c r="A345" s="53"/>
      <c r="B345" s="54" t="s">
        <v>99</v>
      </c>
      <c r="C345" s="95"/>
      <c r="D345" s="84"/>
      <c r="E345" s="84"/>
      <c r="F345" s="84"/>
      <c r="G345" s="93"/>
      <c r="H345" s="94">
        <f aca="true" t="shared" si="119" ref="H345:T345">H339</f>
        <v>5042540.18</v>
      </c>
      <c r="I345" s="94">
        <f t="shared" si="119"/>
        <v>381500</v>
      </c>
      <c r="J345" s="94">
        <f t="shared" si="119"/>
        <v>265560</v>
      </c>
      <c r="K345" s="94">
        <f t="shared" si="119"/>
        <v>288500</v>
      </c>
      <c r="L345" s="94">
        <f t="shared" si="119"/>
        <v>575340.1799999999</v>
      </c>
      <c r="M345" s="94">
        <f t="shared" si="119"/>
        <v>275385</v>
      </c>
      <c r="N345" s="94">
        <f t="shared" si="119"/>
        <v>238900</v>
      </c>
      <c r="O345" s="94">
        <f t="shared" si="119"/>
        <v>436500</v>
      </c>
      <c r="P345" s="94">
        <f t="shared" si="119"/>
        <v>375900</v>
      </c>
      <c r="Q345" s="94">
        <f t="shared" si="119"/>
        <v>376000</v>
      </c>
      <c r="R345" s="94">
        <f t="shared" si="119"/>
        <v>587415</v>
      </c>
      <c r="S345" s="94">
        <f t="shared" si="119"/>
        <v>515600</v>
      </c>
      <c r="T345" s="94">
        <f t="shared" si="119"/>
        <v>725940</v>
      </c>
      <c r="U345" s="24">
        <f t="shared" si="117"/>
        <v>5042540.18</v>
      </c>
      <c r="V345" s="199">
        <f t="shared" si="114"/>
        <v>5042540.18</v>
      </c>
    </row>
    <row r="346" spans="1:22" ht="12.75">
      <c r="A346" s="5"/>
      <c r="B346" s="76"/>
      <c r="C346" s="73"/>
      <c r="D346" s="50"/>
      <c r="E346" s="50"/>
      <c r="F346" s="50"/>
      <c r="G346" s="86"/>
      <c r="H346" s="91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24"/>
      <c r="V346" s="21">
        <f t="shared" si="114"/>
        <v>0</v>
      </c>
    </row>
    <row r="347" spans="1:22" ht="12.75">
      <c r="A347" s="5"/>
      <c r="B347" s="88"/>
      <c r="C347" s="49"/>
      <c r="D347" s="50"/>
      <c r="E347" s="50"/>
      <c r="F347" s="50"/>
      <c r="G347" s="86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24"/>
      <c r="V347" s="21">
        <f t="shared" si="114"/>
        <v>0</v>
      </c>
    </row>
    <row r="348" spans="1:22" ht="15">
      <c r="A348" s="5"/>
      <c r="B348" s="231" t="s">
        <v>28</v>
      </c>
      <c r="C348" s="231"/>
      <c r="D348" s="231"/>
      <c r="E348" s="231"/>
      <c r="F348" s="231"/>
      <c r="G348" s="232"/>
      <c r="H348" s="99">
        <f aca="true" t="shared" si="120" ref="H348:T348">H114+H122+H142+H171+H225+H236+H300+H312+H345+H341</f>
        <v>63586453.800000004</v>
      </c>
      <c r="I348" s="99">
        <f t="shared" si="120"/>
        <v>2508157.35</v>
      </c>
      <c r="J348" s="99">
        <f t="shared" si="120"/>
        <v>3494609.4899999998</v>
      </c>
      <c r="K348" s="99">
        <f t="shared" si="120"/>
        <v>2662069</v>
      </c>
      <c r="L348" s="99">
        <f t="shared" si="120"/>
        <v>3760497.1799999997</v>
      </c>
      <c r="M348" s="99">
        <f t="shared" si="120"/>
        <v>2917750</v>
      </c>
      <c r="N348" s="99">
        <f t="shared" si="120"/>
        <v>2609433.67</v>
      </c>
      <c r="O348" s="99">
        <f t="shared" si="120"/>
        <v>3381110.7199999997</v>
      </c>
      <c r="P348" s="99">
        <f t="shared" si="120"/>
        <v>4243900</v>
      </c>
      <c r="Q348" s="99">
        <f t="shared" si="120"/>
        <v>3850440</v>
      </c>
      <c r="R348" s="99">
        <f t="shared" si="120"/>
        <v>5900893.73</v>
      </c>
      <c r="S348" s="99">
        <f t="shared" si="120"/>
        <v>18958321.48</v>
      </c>
      <c r="T348" s="99">
        <f t="shared" si="120"/>
        <v>9293271.18</v>
      </c>
      <c r="U348" s="24">
        <f>I348+J348+K348+L348+M348+N348+O348+P348+Q348+R348+S348+T348</f>
        <v>63580453.800000004</v>
      </c>
      <c r="V348" s="21">
        <f>V114+V120+V142+V171+V225+V236+V300+V312+V345</f>
        <v>63586453.800000004</v>
      </c>
    </row>
    <row r="352" spans="1:4" ht="12.75">
      <c r="A352" s="226" t="s">
        <v>164</v>
      </c>
      <c r="B352" s="226"/>
      <c r="C352" s="226"/>
      <c r="D352" s="226"/>
    </row>
    <row r="353" spans="1:11" ht="12.75">
      <c r="A353" s="226" t="s">
        <v>165</v>
      </c>
      <c r="B353" s="226"/>
      <c r="C353" s="226"/>
      <c r="D353" s="226"/>
      <c r="E353" s="226"/>
      <c r="F353" s="226"/>
      <c r="G353" s="226"/>
      <c r="K353" t="s">
        <v>166</v>
      </c>
    </row>
  </sheetData>
  <sheetProtection/>
  <mergeCells count="23">
    <mergeCell ref="Q4:Q5"/>
    <mergeCell ref="R4:R5"/>
    <mergeCell ref="S4:S5"/>
    <mergeCell ref="A2:T2"/>
    <mergeCell ref="A4:A5"/>
    <mergeCell ref="B4:B5"/>
    <mergeCell ref="C4:G4"/>
    <mergeCell ref="H4:H5"/>
    <mergeCell ref="I4:I5"/>
    <mergeCell ref="J4:J5"/>
    <mergeCell ref="K4:K5"/>
    <mergeCell ref="L4:L5"/>
    <mergeCell ref="M4:M5"/>
    <mergeCell ref="A352:D352"/>
    <mergeCell ref="A353:G353"/>
    <mergeCell ref="T4:T5"/>
    <mergeCell ref="G272:G273"/>
    <mergeCell ref="G274:G275"/>
    <mergeCell ref="G276:G277"/>
    <mergeCell ref="B348:G348"/>
    <mergeCell ref="N4:N5"/>
    <mergeCell ref="O4:O5"/>
    <mergeCell ref="P4:P5"/>
  </mergeCells>
  <printOptions/>
  <pageMargins left="0.24" right="0.16" top="0.23" bottom="0.22" header="0.2" footer="0.2"/>
  <pageSetup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V353"/>
  <sheetViews>
    <sheetView tabSelected="1" workbookViewId="0" topLeftCell="C1">
      <pane ySplit="5" topLeftCell="BM343" activePane="bottomLeft" state="frozen"/>
      <selection pane="topLeft" activeCell="A1" sqref="A1"/>
      <selection pane="bottomLeft" activeCell="R363" sqref="R363"/>
    </sheetView>
  </sheetViews>
  <sheetFormatPr defaultColWidth="9.140625" defaultRowHeight="12.75"/>
  <cols>
    <col min="1" max="1" width="10.421875" style="4" customWidth="1"/>
    <col min="2" max="2" width="30.28125" style="0" customWidth="1"/>
    <col min="4" max="4" width="13.00390625" style="0" customWidth="1"/>
    <col min="5" max="5" width="5.8515625" style="0" customWidth="1"/>
    <col min="6" max="6" width="4.7109375" style="0" customWidth="1"/>
    <col min="7" max="7" width="12.28125" style="0" customWidth="1"/>
    <col min="8" max="8" width="17.00390625" style="0" customWidth="1"/>
    <col min="9" max="9" width="14.28125" style="0" customWidth="1"/>
    <col min="10" max="10" width="17.140625" style="0" customWidth="1"/>
    <col min="11" max="11" width="13.421875" style="0" customWidth="1"/>
    <col min="12" max="12" width="14.28125" style="0" customWidth="1"/>
    <col min="13" max="13" width="13.7109375" style="0" customWidth="1"/>
    <col min="14" max="14" width="15.00390625" style="0" customWidth="1"/>
    <col min="15" max="15" width="15.7109375" style="0" customWidth="1"/>
    <col min="16" max="16" width="14.28125" style="0" customWidth="1"/>
    <col min="17" max="17" width="13.57421875" style="0" customWidth="1"/>
    <col min="18" max="18" width="14.00390625" style="0" customWidth="1"/>
    <col min="19" max="19" width="16.140625" style="0" customWidth="1"/>
    <col min="20" max="20" width="13.8515625" style="0" customWidth="1"/>
    <col min="21" max="21" width="13.8515625" style="0" hidden="1" customWidth="1"/>
    <col min="22" max="22" width="15.7109375" style="0" customWidth="1"/>
  </cols>
  <sheetData>
    <row r="2" spans="1:20" ht="15.75">
      <c r="A2" s="218" t="s">
        <v>172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</row>
    <row r="3" ht="13.5" thickBot="1"/>
    <row r="4" spans="1:20" ht="12.75">
      <c r="A4" s="219" t="s">
        <v>29</v>
      </c>
      <c r="B4" s="221" t="s">
        <v>0</v>
      </c>
      <c r="C4" s="223"/>
      <c r="D4" s="223"/>
      <c r="E4" s="223"/>
      <c r="F4" s="223"/>
      <c r="G4" s="223"/>
      <c r="H4" s="224" t="s">
        <v>1</v>
      </c>
      <c r="I4" s="216" t="s">
        <v>30</v>
      </c>
      <c r="J4" s="216" t="s">
        <v>31</v>
      </c>
      <c r="K4" s="216" t="s">
        <v>32</v>
      </c>
      <c r="L4" s="216" t="s">
        <v>33</v>
      </c>
      <c r="M4" s="216" t="s">
        <v>34</v>
      </c>
      <c r="N4" s="216" t="s">
        <v>35</v>
      </c>
      <c r="O4" s="216" t="s">
        <v>36</v>
      </c>
      <c r="P4" s="216" t="s">
        <v>37</v>
      </c>
      <c r="Q4" s="216" t="s">
        <v>38</v>
      </c>
      <c r="R4" s="216" t="s">
        <v>39</v>
      </c>
      <c r="S4" s="216" t="s">
        <v>40</v>
      </c>
      <c r="T4" s="227" t="s">
        <v>41</v>
      </c>
    </row>
    <row r="5" spans="1:21" ht="26.25" thickBot="1">
      <c r="A5" s="220"/>
      <c r="B5" s="222"/>
      <c r="C5" s="10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225"/>
      <c r="I5" s="217"/>
      <c r="J5" s="217"/>
      <c r="K5" s="217"/>
      <c r="L5" s="217"/>
      <c r="M5" s="217"/>
      <c r="N5" s="217"/>
      <c r="O5" s="217"/>
      <c r="P5" s="217"/>
      <c r="Q5" s="217"/>
      <c r="R5" s="217"/>
      <c r="S5" s="217"/>
      <c r="T5" s="228"/>
      <c r="U5" s="22" t="s">
        <v>51</v>
      </c>
    </row>
    <row r="6" spans="1:22" ht="12.75">
      <c r="A6" s="5" t="s">
        <v>42</v>
      </c>
      <c r="B6" s="3" t="s">
        <v>7</v>
      </c>
      <c r="C6" s="144" t="s">
        <v>10</v>
      </c>
      <c r="D6" s="145">
        <v>9010000190</v>
      </c>
      <c r="E6" s="145">
        <v>121</v>
      </c>
      <c r="F6" s="7">
        <v>211</v>
      </c>
      <c r="G6" s="1"/>
      <c r="H6" s="15">
        <f>914100+9</f>
        <v>914109</v>
      </c>
      <c r="I6" s="18">
        <f>72500+3625</f>
        <v>76125</v>
      </c>
      <c r="J6" s="18">
        <f>72500+3625+9</f>
        <v>76134</v>
      </c>
      <c r="K6" s="18">
        <f aca="true" t="shared" si="0" ref="K6:R6">72500+3625</f>
        <v>76125</v>
      </c>
      <c r="L6" s="18">
        <f t="shared" si="0"/>
        <v>76125</v>
      </c>
      <c r="M6" s="18">
        <f t="shared" si="0"/>
        <v>76125</v>
      </c>
      <c r="N6" s="18">
        <f t="shared" si="0"/>
        <v>76125</v>
      </c>
      <c r="O6" s="18">
        <f t="shared" si="0"/>
        <v>76125</v>
      </c>
      <c r="P6" s="18">
        <f t="shared" si="0"/>
        <v>76125</v>
      </c>
      <c r="Q6" s="18">
        <f t="shared" si="0"/>
        <v>76125</v>
      </c>
      <c r="R6" s="18">
        <f t="shared" si="0"/>
        <v>76125</v>
      </c>
      <c r="S6" s="18">
        <f>72500+3625+600</f>
        <v>76725</v>
      </c>
      <c r="T6" s="18">
        <f>72500+3625</f>
        <v>76125</v>
      </c>
      <c r="U6" s="21">
        <f>I6+J6+K6+L6+M6+N6+O6+P6+Q6+R6+S6+T6</f>
        <v>914109</v>
      </c>
      <c r="V6" s="21">
        <f>SUM(I6:T6)</f>
        <v>914109</v>
      </c>
    </row>
    <row r="7" spans="1:22" ht="12.75">
      <c r="A7" s="5" t="s">
        <v>42</v>
      </c>
      <c r="B7" s="3" t="s">
        <v>9</v>
      </c>
      <c r="C7" s="144" t="s">
        <v>10</v>
      </c>
      <c r="D7" s="145">
        <v>9010000190</v>
      </c>
      <c r="E7" s="145">
        <v>129</v>
      </c>
      <c r="F7" s="7">
        <v>213</v>
      </c>
      <c r="G7" s="1"/>
      <c r="H7" s="15">
        <f>276100-9</f>
        <v>276091</v>
      </c>
      <c r="I7" s="18">
        <f>21900+1100</f>
        <v>23000</v>
      </c>
      <c r="J7" s="18">
        <f>21900+1100-9</f>
        <v>22991</v>
      </c>
      <c r="K7" s="18">
        <f aca="true" t="shared" si="1" ref="K7:R7">21900+1100</f>
        <v>23000</v>
      </c>
      <c r="L7" s="18">
        <f t="shared" si="1"/>
        <v>23000</v>
      </c>
      <c r="M7" s="18">
        <f t="shared" si="1"/>
        <v>23000</v>
      </c>
      <c r="N7" s="18">
        <f t="shared" si="1"/>
        <v>23000</v>
      </c>
      <c r="O7" s="18">
        <f t="shared" si="1"/>
        <v>23000</v>
      </c>
      <c r="P7" s="18">
        <f t="shared" si="1"/>
        <v>23000</v>
      </c>
      <c r="Q7" s="18">
        <f t="shared" si="1"/>
        <v>23000</v>
      </c>
      <c r="R7" s="18">
        <f t="shared" si="1"/>
        <v>23000</v>
      </c>
      <c r="S7" s="18">
        <f>21900+1200</f>
        <v>23100</v>
      </c>
      <c r="T7" s="18">
        <f>21900+1100</f>
        <v>23000</v>
      </c>
      <c r="U7" s="21">
        <f>I7+J7+K7+L7+M7+N7+O7+P7+Q7+R7+S7+T7</f>
        <v>276091</v>
      </c>
      <c r="V7" s="21">
        <f>SUM(I7:T7)</f>
        <v>276091</v>
      </c>
    </row>
    <row r="8" spans="1:22" ht="15.75" customHeight="1">
      <c r="A8" s="5" t="s">
        <v>42</v>
      </c>
      <c r="B8" s="11" t="s">
        <v>15</v>
      </c>
      <c r="C8" s="144" t="s">
        <v>10</v>
      </c>
      <c r="D8" s="145">
        <v>9010000190</v>
      </c>
      <c r="E8" s="145">
        <v>244</v>
      </c>
      <c r="F8" s="7">
        <v>226</v>
      </c>
      <c r="G8" s="6"/>
      <c r="H8" s="15">
        <v>3300</v>
      </c>
      <c r="I8" s="18">
        <v>0</v>
      </c>
      <c r="J8" s="18">
        <v>0</v>
      </c>
      <c r="K8" s="18">
        <v>0</v>
      </c>
      <c r="L8" s="18">
        <v>1100</v>
      </c>
      <c r="M8" s="18">
        <v>0</v>
      </c>
      <c r="N8" s="18">
        <v>0</v>
      </c>
      <c r="O8" s="18">
        <v>1100</v>
      </c>
      <c r="P8" s="18">
        <v>0</v>
      </c>
      <c r="Q8" s="18">
        <v>0</v>
      </c>
      <c r="R8" s="18">
        <v>1100</v>
      </c>
      <c r="S8" s="18">
        <v>0</v>
      </c>
      <c r="T8" s="18">
        <v>0</v>
      </c>
      <c r="U8" s="21">
        <f>I8+J8+K8+L8+M8+N8+O8+P8+Q8+R8+S8+T8</f>
        <v>3300</v>
      </c>
      <c r="V8" s="21">
        <f>SUM(I8:T8)</f>
        <v>3300</v>
      </c>
    </row>
    <row r="9" spans="1:22" ht="12.75">
      <c r="A9" s="5"/>
      <c r="B9" s="29" t="s">
        <v>53</v>
      </c>
      <c r="C9" s="146" t="s">
        <v>10</v>
      </c>
      <c r="D9" s="115"/>
      <c r="E9" s="115"/>
      <c r="F9" s="115"/>
      <c r="G9" s="29"/>
      <c r="H9" s="14">
        <f aca="true" t="shared" si="2" ref="H9:T9">H6+H7+H8</f>
        <v>1193500</v>
      </c>
      <c r="I9" s="14">
        <f t="shared" si="2"/>
        <v>99125</v>
      </c>
      <c r="J9" s="14">
        <f t="shared" si="2"/>
        <v>99125</v>
      </c>
      <c r="K9" s="14">
        <f t="shared" si="2"/>
        <v>99125</v>
      </c>
      <c r="L9" s="14">
        <f t="shared" si="2"/>
        <v>100225</v>
      </c>
      <c r="M9" s="14">
        <f t="shared" si="2"/>
        <v>99125</v>
      </c>
      <c r="N9" s="14">
        <f t="shared" si="2"/>
        <v>99125</v>
      </c>
      <c r="O9" s="14">
        <f t="shared" si="2"/>
        <v>100225</v>
      </c>
      <c r="P9" s="14">
        <f t="shared" si="2"/>
        <v>99125</v>
      </c>
      <c r="Q9" s="14">
        <f t="shared" si="2"/>
        <v>99125</v>
      </c>
      <c r="R9" s="14">
        <f t="shared" si="2"/>
        <v>100225</v>
      </c>
      <c r="S9" s="14">
        <f t="shared" si="2"/>
        <v>99825</v>
      </c>
      <c r="T9" s="14">
        <f t="shared" si="2"/>
        <v>99125</v>
      </c>
      <c r="U9" s="23">
        <f>I9+J9+K9+L9+M9+N9+O9+P9+Q9+R9+S9+T9</f>
        <v>1193500</v>
      </c>
      <c r="V9" s="199">
        <f>SUM(I9:T9)</f>
        <v>1193500</v>
      </c>
    </row>
    <row r="10" spans="1:22" ht="93.75" customHeight="1">
      <c r="A10" s="26" t="s">
        <v>42</v>
      </c>
      <c r="B10" s="27" t="s">
        <v>112</v>
      </c>
      <c r="C10" s="148" t="s">
        <v>11</v>
      </c>
      <c r="D10" s="148">
        <v>5100000000</v>
      </c>
      <c r="E10" s="117"/>
      <c r="F10" s="117"/>
      <c r="G10" s="28"/>
      <c r="H10" s="38">
        <f>H11+H12+H13+H14+H15+H16+H17+H18+H20+H21+H19+H22+H23+H24+H25</f>
        <v>6824400</v>
      </c>
      <c r="I10" s="38">
        <f aca="true" t="shared" si="3" ref="I10:U10">I11+I12+I13+I14+I15+I16+I17+I18+I20+I21+I19+I22+I23</f>
        <v>248100</v>
      </c>
      <c r="J10" s="38">
        <f t="shared" si="3"/>
        <v>461873</v>
      </c>
      <c r="K10" s="38">
        <f t="shared" si="3"/>
        <v>309829</v>
      </c>
      <c r="L10" s="38">
        <f t="shared" si="3"/>
        <v>418200</v>
      </c>
      <c r="M10" s="38">
        <f t="shared" si="3"/>
        <v>448200</v>
      </c>
      <c r="N10" s="38">
        <f t="shared" si="3"/>
        <v>419100</v>
      </c>
      <c r="O10" s="38">
        <f t="shared" si="3"/>
        <v>421100</v>
      </c>
      <c r="P10" s="38">
        <f t="shared" si="3"/>
        <v>649100</v>
      </c>
      <c r="Q10" s="38">
        <f t="shared" si="3"/>
        <v>418200</v>
      </c>
      <c r="R10" s="38">
        <f t="shared" si="3"/>
        <v>808700</v>
      </c>
      <c r="S10" s="38">
        <f t="shared" si="3"/>
        <v>810450</v>
      </c>
      <c r="T10" s="38">
        <f t="shared" si="3"/>
        <v>1405548</v>
      </c>
      <c r="U10" s="38">
        <f t="shared" si="3"/>
        <v>6818400</v>
      </c>
      <c r="V10" s="38">
        <f>V11+V12+V19+V22+V23+V24+V25</f>
        <v>6824400</v>
      </c>
    </row>
    <row r="11" spans="1:22" ht="12.75">
      <c r="A11" s="5" t="s">
        <v>42</v>
      </c>
      <c r="B11" s="3" t="s">
        <v>7</v>
      </c>
      <c r="C11" s="144" t="s">
        <v>11</v>
      </c>
      <c r="D11" s="145">
        <v>5110100190</v>
      </c>
      <c r="E11" s="145">
        <v>121</v>
      </c>
      <c r="F11" s="144">
        <v>211</v>
      </c>
      <c r="G11" s="1"/>
      <c r="H11" s="15">
        <f>4878100+2100+5931</f>
        <v>4886131</v>
      </c>
      <c r="I11" s="12">
        <f>196900+9500</f>
        <v>206400</v>
      </c>
      <c r="J11" s="12">
        <f>296900+9500+2100+5931</f>
        <v>314431</v>
      </c>
      <c r="K11" s="12">
        <f>266900+9500</f>
        <v>276400</v>
      </c>
      <c r="L11" s="12">
        <f>296900+9500</f>
        <v>306400</v>
      </c>
      <c r="M11" s="12">
        <f>296900+9500</f>
        <v>306400</v>
      </c>
      <c r="N11" s="12">
        <f>296900+9500</f>
        <v>306400</v>
      </c>
      <c r="O11" s="12">
        <f>296900+9500</f>
        <v>306400</v>
      </c>
      <c r="P11" s="12">
        <f>496900+9500</f>
        <v>506400</v>
      </c>
      <c r="Q11" s="12">
        <f>296900+9500</f>
        <v>306400</v>
      </c>
      <c r="R11" s="12">
        <f>596900+9500</f>
        <v>606400</v>
      </c>
      <c r="S11" s="12">
        <f>526900+10300</f>
        <v>537200</v>
      </c>
      <c r="T11" s="12">
        <f>897400+9500</f>
        <v>906900</v>
      </c>
      <c r="U11" s="24">
        <f aca="true" t="shared" si="4" ref="U11:U23">I11+J11+K11+L11+M11+N11+O11+P11+Q11+R11+S11+T11</f>
        <v>4886131</v>
      </c>
      <c r="V11" s="21">
        <f aca="true" t="shared" si="5" ref="V11:V26">SUM(I11:T11)</f>
        <v>4886131</v>
      </c>
    </row>
    <row r="12" spans="1:22" ht="12.75">
      <c r="A12" s="5" t="s">
        <v>42</v>
      </c>
      <c r="B12" s="3" t="s">
        <v>9</v>
      </c>
      <c r="C12" s="144" t="s">
        <v>11</v>
      </c>
      <c r="D12" s="145">
        <v>5110100190</v>
      </c>
      <c r="E12" s="145">
        <v>129</v>
      </c>
      <c r="F12" s="144">
        <v>213</v>
      </c>
      <c r="G12" s="1"/>
      <c r="H12" s="15">
        <f>1473200+620+1791</f>
        <v>1475611</v>
      </c>
      <c r="I12" s="12">
        <f>19900+2800</f>
        <v>22700</v>
      </c>
      <c r="J12" s="12">
        <f>19900+2800</f>
        <v>22700</v>
      </c>
      <c r="K12" s="12">
        <f>19560+2800+620+1791</f>
        <v>24771</v>
      </c>
      <c r="L12" s="12">
        <f>89900+2800</f>
        <v>92700</v>
      </c>
      <c r="M12" s="12">
        <f>119900+2800</f>
        <v>122700</v>
      </c>
      <c r="N12" s="12">
        <f>89900+2800</f>
        <v>92700</v>
      </c>
      <c r="O12" s="12">
        <f>89900+2800</f>
        <v>92700</v>
      </c>
      <c r="P12" s="12">
        <f>119900+2800</f>
        <v>122700</v>
      </c>
      <c r="Q12" s="12">
        <f>89900+2800</f>
        <v>92700</v>
      </c>
      <c r="R12" s="12">
        <f>179900+2800</f>
        <v>182700</v>
      </c>
      <c r="S12" s="12">
        <f>249900+3350</f>
        <v>253250</v>
      </c>
      <c r="T12" s="12">
        <f>349940+3350</f>
        <v>353290</v>
      </c>
      <c r="U12" s="24">
        <f t="shared" si="4"/>
        <v>1475611</v>
      </c>
      <c r="V12" s="21">
        <f t="shared" si="5"/>
        <v>1475611</v>
      </c>
    </row>
    <row r="13" spans="1:22" ht="12.75" hidden="1">
      <c r="A13" s="25" t="s">
        <v>42</v>
      </c>
      <c r="B13" s="3" t="s">
        <v>12</v>
      </c>
      <c r="C13" s="113" t="s">
        <v>11</v>
      </c>
      <c r="D13" s="114">
        <v>5110100190</v>
      </c>
      <c r="E13" s="114">
        <v>244</v>
      </c>
      <c r="F13" s="113">
        <v>221</v>
      </c>
      <c r="G13" s="1"/>
      <c r="H13" s="15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24">
        <f t="shared" si="4"/>
        <v>0</v>
      </c>
      <c r="V13" s="21">
        <f t="shared" si="5"/>
        <v>0</v>
      </c>
    </row>
    <row r="14" spans="1:22" ht="12.75" hidden="1">
      <c r="A14" s="5" t="s">
        <v>42</v>
      </c>
      <c r="B14" s="3" t="s">
        <v>13</v>
      </c>
      <c r="C14" s="113" t="s">
        <v>11</v>
      </c>
      <c r="D14" s="114">
        <v>5110100190</v>
      </c>
      <c r="E14" s="114">
        <v>244</v>
      </c>
      <c r="F14" s="113">
        <v>223</v>
      </c>
      <c r="G14" s="2" t="s">
        <v>43</v>
      </c>
      <c r="H14" s="15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0</v>
      </c>
      <c r="T14" s="12">
        <v>0</v>
      </c>
      <c r="U14" s="24">
        <f t="shared" si="4"/>
        <v>0</v>
      </c>
      <c r="V14" s="21">
        <f t="shared" si="5"/>
        <v>0</v>
      </c>
    </row>
    <row r="15" spans="1:22" ht="12.75" hidden="1">
      <c r="A15" s="5" t="s">
        <v>42</v>
      </c>
      <c r="B15" s="3" t="s">
        <v>13</v>
      </c>
      <c r="C15" s="113" t="s">
        <v>11</v>
      </c>
      <c r="D15" s="114">
        <v>5110100190</v>
      </c>
      <c r="E15" s="114">
        <v>244</v>
      </c>
      <c r="F15" s="113">
        <v>223</v>
      </c>
      <c r="G15" s="9" t="s">
        <v>44</v>
      </c>
      <c r="H15" s="15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24">
        <f t="shared" si="4"/>
        <v>0</v>
      </c>
      <c r="V15" s="21">
        <f t="shared" si="5"/>
        <v>0</v>
      </c>
    </row>
    <row r="16" spans="1:22" ht="12.75" hidden="1">
      <c r="A16" s="5" t="s">
        <v>42</v>
      </c>
      <c r="B16" s="3" t="s">
        <v>13</v>
      </c>
      <c r="C16" s="113" t="s">
        <v>11</v>
      </c>
      <c r="D16" s="114">
        <v>5110100190</v>
      </c>
      <c r="E16" s="114">
        <v>244</v>
      </c>
      <c r="F16" s="113">
        <v>223</v>
      </c>
      <c r="G16" s="2" t="s">
        <v>45</v>
      </c>
      <c r="H16" s="15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v>0</v>
      </c>
      <c r="R16" s="12">
        <v>0</v>
      </c>
      <c r="S16" s="12">
        <v>0</v>
      </c>
      <c r="T16" s="12">
        <v>0</v>
      </c>
      <c r="U16" s="24">
        <f t="shared" si="4"/>
        <v>0</v>
      </c>
      <c r="V16" s="21">
        <f t="shared" si="5"/>
        <v>0</v>
      </c>
    </row>
    <row r="17" spans="1:22" ht="12.75" hidden="1">
      <c r="A17" s="5" t="s">
        <v>42</v>
      </c>
      <c r="B17" s="3" t="s">
        <v>14</v>
      </c>
      <c r="C17" s="113" t="s">
        <v>11</v>
      </c>
      <c r="D17" s="114">
        <v>5110100190</v>
      </c>
      <c r="E17" s="114">
        <v>244</v>
      </c>
      <c r="F17" s="113">
        <v>225</v>
      </c>
      <c r="G17" s="2"/>
      <c r="H17" s="15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0</v>
      </c>
      <c r="R17" s="12">
        <v>0</v>
      </c>
      <c r="S17" s="12">
        <v>0</v>
      </c>
      <c r="T17" s="12">
        <v>0</v>
      </c>
      <c r="U17" s="24">
        <f t="shared" si="4"/>
        <v>0</v>
      </c>
      <c r="V17" s="21">
        <f t="shared" si="5"/>
        <v>0</v>
      </c>
    </row>
    <row r="18" spans="1:22" ht="12.75" hidden="1">
      <c r="A18" s="5" t="s">
        <v>42</v>
      </c>
      <c r="B18" s="3" t="s">
        <v>16</v>
      </c>
      <c r="C18" s="113" t="s">
        <v>11</v>
      </c>
      <c r="D18" s="114">
        <v>5110100190</v>
      </c>
      <c r="E18" s="114">
        <v>851</v>
      </c>
      <c r="F18" s="113">
        <v>290</v>
      </c>
      <c r="G18" s="2" t="s">
        <v>60</v>
      </c>
      <c r="H18" s="17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2">
        <v>0</v>
      </c>
      <c r="T18" s="12">
        <v>0</v>
      </c>
      <c r="U18" s="24">
        <f t="shared" si="4"/>
        <v>0</v>
      </c>
      <c r="V18" s="21">
        <f t="shared" si="5"/>
        <v>0</v>
      </c>
    </row>
    <row r="19" spans="1:22" ht="12.75">
      <c r="A19" s="5" t="s">
        <v>42</v>
      </c>
      <c r="B19" s="3" t="s">
        <v>15</v>
      </c>
      <c r="C19" s="144" t="s">
        <v>11</v>
      </c>
      <c r="D19" s="145">
        <v>5110100190</v>
      </c>
      <c r="E19" s="145">
        <v>244</v>
      </c>
      <c r="F19" s="144">
        <v>226</v>
      </c>
      <c r="G19" s="2"/>
      <c r="H19" s="17">
        <v>3100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3100</v>
      </c>
      <c r="U19" s="24">
        <f t="shared" si="4"/>
        <v>3100</v>
      </c>
      <c r="V19" s="21">
        <f t="shared" si="5"/>
        <v>3100</v>
      </c>
    </row>
    <row r="20" spans="1:22" ht="12.75" hidden="1">
      <c r="A20" s="5" t="s">
        <v>42</v>
      </c>
      <c r="B20" s="3" t="s">
        <v>17</v>
      </c>
      <c r="C20" s="113" t="s">
        <v>11</v>
      </c>
      <c r="D20" s="114">
        <v>5110100190</v>
      </c>
      <c r="E20" s="114">
        <v>244</v>
      </c>
      <c r="F20" s="113">
        <v>340</v>
      </c>
      <c r="G20" s="7"/>
      <c r="H20" s="17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24">
        <f t="shared" si="4"/>
        <v>0</v>
      </c>
      <c r="V20" s="21">
        <f t="shared" si="5"/>
        <v>0</v>
      </c>
    </row>
    <row r="21" spans="1:22" ht="12.75" hidden="1">
      <c r="A21" s="5" t="s">
        <v>42</v>
      </c>
      <c r="B21" s="3" t="s">
        <v>17</v>
      </c>
      <c r="C21" s="113" t="s">
        <v>11</v>
      </c>
      <c r="D21" s="114">
        <v>5110100190</v>
      </c>
      <c r="E21" s="114">
        <v>244</v>
      </c>
      <c r="F21" s="113">
        <v>340</v>
      </c>
      <c r="G21" s="7" t="s">
        <v>46</v>
      </c>
      <c r="H21" s="17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24">
        <f t="shared" si="4"/>
        <v>0</v>
      </c>
      <c r="V21" s="21">
        <f t="shared" si="5"/>
        <v>0</v>
      </c>
    </row>
    <row r="22" spans="1:22" ht="25.5">
      <c r="A22" s="5" t="s">
        <v>42</v>
      </c>
      <c r="B22" s="3" t="s">
        <v>17</v>
      </c>
      <c r="C22" s="144" t="s">
        <v>11</v>
      </c>
      <c r="D22" s="145">
        <v>5110100190</v>
      </c>
      <c r="E22" s="145">
        <v>244</v>
      </c>
      <c r="F22" s="144">
        <v>340</v>
      </c>
      <c r="G22" s="147" t="s">
        <v>113</v>
      </c>
      <c r="H22" s="15">
        <f>290000-2720-7722</f>
        <v>279558</v>
      </c>
      <c r="I22" s="16">
        <v>19000</v>
      </c>
      <c r="J22" s="16">
        <v>22000</v>
      </c>
      <c r="K22" s="16">
        <f>19100-2720-7722</f>
        <v>8658</v>
      </c>
      <c r="L22" s="16">
        <v>19100</v>
      </c>
      <c r="M22" s="16">
        <v>19100</v>
      </c>
      <c r="N22" s="16">
        <v>20000</v>
      </c>
      <c r="O22" s="16">
        <v>22000</v>
      </c>
      <c r="P22" s="16">
        <v>20000</v>
      </c>
      <c r="Q22" s="16">
        <v>19100</v>
      </c>
      <c r="R22" s="16">
        <v>19600</v>
      </c>
      <c r="S22" s="16">
        <v>20000</v>
      </c>
      <c r="T22" s="16">
        <v>71000</v>
      </c>
      <c r="U22" s="24">
        <f t="shared" si="4"/>
        <v>279558</v>
      </c>
      <c r="V22" s="21">
        <f t="shared" si="5"/>
        <v>279558</v>
      </c>
    </row>
    <row r="23" spans="1:22" ht="12.75">
      <c r="A23" s="5" t="s">
        <v>42</v>
      </c>
      <c r="B23" s="3" t="s">
        <v>16</v>
      </c>
      <c r="C23" s="144" t="s">
        <v>11</v>
      </c>
      <c r="D23" s="145">
        <v>5110100190</v>
      </c>
      <c r="E23" s="145">
        <v>851</v>
      </c>
      <c r="F23" s="144">
        <v>290</v>
      </c>
      <c r="G23" s="147" t="s">
        <v>60</v>
      </c>
      <c r="H23" s="17">
        <v>174000</v>
      </c>
      <c r="I23" s="16">
        <v>0</v>
      </c>
      <c r="J23" s="16">
        <v>102742</v>
      </c>
      <c r="K23" s="16">
        <v>0</v>
      </c>
      <c r="L23" s="16">
        <f>22500-6000-16500</f>
        <v>0</v>
      </c>
      <c r="M23" s="16">
        <v>0</v>
      </c>
      <c r="N23" s="16">
        <v>0</v>
      </c>
      <c r="O23" s="16">
        <f>22500-22500</f>
        <v>0</v>
      </c>
      <c r="P23" s="16">
        <v>0</v>
      </c>
      <c r="Q23" s="16">
        <v>0</v>
      </c>
      <c r="R23" s="16">
        <f>22500-22500</f>
        <v>0</v>
      </c>
      <c r="S23" s="16">
        <v>0</v>
      </c>
      <c r="T23" s="16">
        <v>71258</v>
      </c>
      <c r="U23" s="24">
        <f t="shared" si="4"/>
        <v>174000</v>
      </c>
      <c r="V23" s="21">
        <f t="shared" si="5"/>
        <v>174000</v>
      </c>
    </row>
    <row r="24" spans="1:22" ht="12.75">
      <c r="A24" s="5"/>
      <c r="B24" s="3"/>
      <c r="C24" s="144" t="s">
        <v>11</v>
      </c>
      <c r="D24" s="145">
        <v>5110100190</v>
      </c>
      <c r="E24" s="145">
        <v>852</v>
      </c>
      <c r="F24" s="144">
        <v>290</v>
      </c>
      <c r="G24" s="147" t="s">
        <v>60</v>
      </c>
      <c r="H24" s="215">
        <v>4000</v>
      </c>
      <c r="I24" s="16"/>
      <c r="J24" s="16">
        <v>3970</v>
      </c>
      <c r="K24" s="16">
        <v>0</v>
      </c>
      <c r="L24" s="186">
        <f>4000-3970</f>
        <v>30</v>
      </c>
      <c r="M24" s="16"/>
      <c r="N24" s="16"/>
      <c r="O24" s="16"/>
      <c r="P24" s="16"/>
      <c r="Q24" s="16"/>
      <c r="R24" s="16"/>
      <c r="S24" s="16"/>
      <c r="T24" s="16"/>
      <c r="U24" s="24"/>
      <c r="V24" s="21">
        <f t="shared" si="5"/>
        <v>4000</v>
      </c>
    </row>
    <row r="25" spans="1:22" ht="12.75">
      <c r="A25" s="5"/>
      <c r="B25" s="3"/>
      <c r="C25" s="144" t="s">
        <v>11</v>
      </c>
      <c r="D25" s="145">
        <v>5110100190</v>
      </c>
      <c r="E25" s="145">
        <v>853</v>
      </c>
      <c r="F25" s="144">
        <v>290</v>
      </c>
      <c r="G25" s="147" t="s">
        <v>60</v>
      </c>
      <c r="H25" s="215">
        <v>2000</v>
      </c>
      <c r="I25" s="16"/>
      <c r="J25" s="16">
        <v>368.53</v>
      </c>
      <c r="K25" s="16">
        <v>0</v>
      </c>
      <c r="L25" s="186">
        <f>2000-368.53</f>
        <v>1631.47</v>
      </c>
      <c r="M25" s="16"/>
      <c r="N25" s="16"/>
      <c r="O25" s="16"/>
      <c r="P25" s="16"/>
      <c r="Q25" s="16"/>
      <c r="R25" s="16"/>
      <c r="S25" s="16"/>
      <c r="T25" s="16"/>
      <c r="U25" s="24"/>
      <c r="V25" s="21">
        <f t="shared" si="5"/>
        <v>2000</v>
      </c>
    </row>
    <row r="26" spans="1:22" ht="12.75">
      <c r="A26" s="5" t="s">
        <v>42</v>
      </c>
      <c r="B26" s="3" t="s">
        <v>52</v>
      </c>
      <c r="C26" s="144" t="s">
        <v>11</v>
      </c>
      <c r="D26" s="145">
        <v>9110060190</v>
      </c>
      <c r="E26" s="145">
        <v>244</v>
      </c>
      <c r="F26" s="144">
        <v>340</v>
      </c>
      <c r="G26" s="7"/>
      <c r="H26" s="17">
        <v>7600</v>
      </c>
      <c r="I26" s="16">
        <v>7600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24">
        <f>I26+J26+K26+L26+M26+N26+O26+P26+Q26+R26+S26+T26</f>
        <v>7600</v>
      </c>
      <c r="V26" s="21">
        <f t="shared" si="5"/>
        <v>7600</v>
      </c>
    </row>
    <row r="27" spans="1:22" ht="12.75">
      <c r="A27" s="5"/>
      <c r="B27" s="29" t="s">
        <v>53</v>
      </c>
      <c r="C27" s="149" t="s">
        <v>11</v>
      </c>
      <c r="D27" s="145"/>
      <c r="E27" s="145"/>
      <c r="F27" s="144"/>
      <c r="G27" s="7"/>
      <c r="H27" s="20">
        <f aca="true" t="shared" si="6" ref="H27:T27">H10+H26</f>
        <v>6832000</v>
      </c>
      <c r="I27" s="20">
        <f t="shared" si="6"/>
        <v>255700</v>
      </c>
      <c r="J27" s="20">
        <f t="shared" si="6"/>
        <v>461873</v>
      </c>
      <c r="K27" s="20">
        <f t="shared" si="6"/>
        <v>309829</v>
      </c>
      <c r="L27" s="20">
        <f t="shared" si="6"/>
        <v>418200</v>
      </c>
      <c r="M27" s="20">
        <f t="shared" si="6"/>
        <v>448200</v>
      </c>
      <c r="N27" s="20">
        <f t="shared" si="6"/>
        <v>419100</v>
      </c>
      <c r="O27" s="20">
        <f t="shared" si="6"/>
        <v>421100</v>
      </c>
      <c r="P27" s="20">
        <f t="shared" si="6"/>
        <v>649100</v>
      </c>
      <c r="Q27" s="20">
        <f t="shared" si="6"/>
        <v>418200</v>
      </c>
      <c r="R27" s="20">
        <f t="shared" si="6"/>
        <v>808700</v>
      </c>
      <c r="S27" s="20">
        <f t="shared" si="6"/>
        <v>810450</v>
      </c>
      <c r="T27" s="20">
        <f t="shared" si="6"/>
        <v>1405548</v>
      </c>
      <c r="U27" s="23">
        <f>I27+J27+K27+L27+M27+N27+O27+P27+Q27+R27+S27+T27</f>
        <v>6826000</v>
      </c>
      <c r="V27" s="199">
        <f>V10+V26</f>
        <v>6832000</v>
      </c>
    </row>
    <row r="28" spans="1:22" ht="12.75">
      <c r="A28" s="5"/>
      <c r="B28" s="31"/>
      <c r="C28" s="118"/>
      <c r="D28" s="114"/>
      <c r="E28" s="114"/>
      <c r="F28" s="113"/>
      <c r="G28" s="7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23"/>
      <c r="V28" s="21">
        <f aca="true" t="shared" si="7" ref="V28:V59">SUM(I28:T28)</f>
        <v>0</v>
      </c>
    </row>
    <row r="29" spans="1:22" ht="76.5">
      <c r="A29" s="5" t="s">
        <v>42</v>
      </c>
      <c r="B29" s="33" t="s">
        <v>54</v>
      </c>
      <c r="C29" s="152" t="s">
        <v>55</v>
      </c>
      <c r="D29" s="153">
        <v>9210000190</v>
      </c>
      <c r="E29" s="153">
        <v>540</v>
      </c>
      <c r="F29" s="153">
        <v>251</v>
      </c>
      <c r="G29" s="7" t="s">
        <v>56</v>
      </c>
      <c r="H29" s="13">
        <v>150473</v>
      </c>
      <c r="I29" s="18">
        <v>0</v>
      </c>
      <c r="J29" s="18">
        <v>150473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24">
        <f>I29+J29+K29+L29+M29+N29+O29+P29+Q29+R29+S29+T29</f>
        <v>150473</v>
      </c>
      <c r="V29" s="200">
        <f t="shared" si="7"/>
        <v>150473</v>
      </c>
    </row>
    <row r="30" spans="1:22" ht="12.75">
      <c r="A30" s="5"/>
      <c r="B30" s="29" t="s">
        <v>53</v>
      </c>
      <c r="C30" s="149" t="s">
        <v>55</v>
      </c>
      <c r="D30" s="145"/>
      <c r="E30" s="145"/>
      <c r="F30" s="144"/>
      <c r="G30" s="7"/>
      <c r="H30" s="20">
        <f aca="true" t="shared" si="8" ref="H30:T30">H29</f>
        <v>150473</v>
      </c>
      <c r="I30" s="19">
        <f t="shared" si="8"/>
        <v>0</v>
      </c>
      <c r="J30" s="19">
        <f t="shared" si="8"/>
        <v>150473</v>
      </c>
      <c r="K30" s="19">
        <f t="shared" si="8"/>
        <v>0</v>
      </c>
      <c r="L30" s="19">
        <f t="shared" si="8"/>
        <v>0</v>
      </c>
      <c r="M30" s="19">
        <f t="shared" si="8"/>
        <v>0</v>
      </c>
      <c r="N30" s="19">
        <f t="shared" si="8"/>
        <v>0</v>
      </c>
      <c r="O30" s="19">
        <f t="shared" si="8"/>
        <v>0</v>
      </c>
      <c r="P30" s="19">
        <f t="shared" si="8"/>
        <v>0</v>
      </c>
      <c r="Q30" s="19">
        <f t="shared" si="8"/>
        <v>0</v>
      </c>
      <c r="R30" s="19">
        <f t="shared" si="8"/>
        <v>0</v>
      </c>
      <c r="S30" s="19">
        <f t="shared" si="8"/>
        <v>0</v>
      </c>
      <c r="T30" s="19">
        <f t="shared" si="8"/>
        <v>0</v>
      </c>
      <c r="U30" s="23">
        <f>I30+J30+K30+L30+M30+N30+O30+P30+Q30+R30+S30+T30</f>
        <v>150473</v>
      </c>
      <c r="V30" s="21">
        <f t="shared" si="7"/>
        <v>150473</v>
      </c>
    </row>
    <row r="31" spans="1:22" ht="12.75">
      <c r="A31" s="5"/>
      <c r="B31" s="31"/>
      <c r="C31" s="149"/>
      <c r="D31" s="145"/>
      <c r="E31" s="145"/>
      <c r="F31" s="144"/>
      <c r="G31" s="7"/>
      <c r="H31" s="20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23"/>
      <c r="V31" s="21">
        <f t="shared" si="7"/>
        <v>0</v>
      </c>
    </row>
    <row r="32" spans="1:22" ht="25.5">
      <c r="A32" s="5" t="s">
        <v>42</v>
      </c>
      <c r="B32" s="155" t="s">
        <v>115</v>
      </c>
      <c r="C32" s="149" t="s">
        <v>116</v>
      </c>
      <c r="D32" s="145">
        <v>9510010710</v>
      </c>
      <c r="E32" s="145">
        <v>880</v>
      </c>
      <c r="F32" s="144">
        <v>290</v>
      </c>
      <c r="G32" s="7"/>
      <c r="H32" s="156">
        <v>1100000</v>
      </c>
      <c r="I32" s="157">
        <v>0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0</v>
      </c>
      <c r="P32" s="157">
        <v>0</v>
      </c>
      <c r="Q32" s="157">
        <v>0</v>
      </c>
      <c r="R32" s="157">
        <v>0</v>
      </c>
      <c r="S32" s="157">
        <v>0</v>
      </c>
      <c r="T32" s="157">
        <v>1100000</v>
      </c>
      <c r="U32" s="23">
        <f>I32+J32+K32+L32+M32+N32+O32+P32+Q32+R32+S32+T32</f>
        <v>1100000</v>
      </c>
      <c r="V32" s="199">
        <f t="shared" si="7"/>
        <v>1100000</v>
      </c>
    </row>
    <row r="33" spans="1:22" ht="12.75">
      <c r="A33" s="5"/>
      <c r="B33" s="29" t="s">
        <v>53</v>
      </c>
      <c r="C33" s="149" t="s">
        <v>116</v>
      </c>
      <c r="D33" s="145"/>
      <c r="E33" s="145"/>
      <c r="F33" s="144"/>
      <c r="G33" s="7"/>
      <c r="H33" s="20">
        <f aca="true" t="shared" si="9" ref="H33:T33">H32</f>
        <v>1100000</v>
      </c>
      <c r="I33" s="19">
        <f t="shared" si="9"/>
        <v>0</v>
      </c>
      <c r="J33" s="19">
        <f t="shared" si="9"/>
        <v>0</v>
      </c>
      <c r="K33" s="19">
        <f t="shared" si="9"/>
        <v>0</v>
      </c>
      <c r="L33" s="19">
        <f t="shared" si="9"/>
        <v>0</v>
      </c>
      <c r="M33" s="19">
        <f t="shared" si="9"/>
        <v>0</v>
      </c>
      <c r="N33" s="19">
        <f t="shared" si="9"/>
        <v>0</v>
      </c>
      <c r="O33" s="19">
        <f t="shared" si="9"/>
        <v>0</v>
      </c>
      <c r="P33" s="19">
        <f t="shared" si="9"/>
        <v>0</v>
      </c>
      <c r="Q33" s="19">
        <f t="shared" si="9"/>
        <v>0</v>
      </c>
      <c r="R33" s="19">
        <f t="shared" si="9"/>
        <v>0</v>
      </c>
      <c r="S33" s="19">
        <f t="shared" si="9"/>
        <v>0</v>
      </c>
      <c r="T33" s="19">
        <f t="shared" si="9"/>
        <v>1100000</v>
      </c>
      <c r="U33" s="23">
        <f>I33+J33+K33+L33+M33+N33+O33+P33+Q33+R33+S33+T33</f>
        <v>1100000</v>
      </c>
      <c r="V33" s="21">
        <f t="shared" si="7"/>
        <v>1100000</v>
      </c>
    </row>
    <row r="34" spans="1:22" ht="12.75">
      <c r="A34" s="5"/>
      <c r="B34" s="31"/>
      <c r="C34" s="118"/>
      <c r="D34" s="114"/>
      <c r="E34" s="114"/>
      <c r="F34" s="113"/>
      <c r="G34" s="7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23"/>
      <c r="V34" s="21">
        <f t="shared" si="7"/>
        <v>0</v>
      </c>
    </row>
    <row r="35" spans="1:22" ht="12.75">
      <c r="A35" s="5" t="s">
        <v>42</v>
      </c>
      <c r="B35" s="32" t="s">
        <v>57</v>
      </c>
      <c r="C35" s="144" t="s">
        <v>58</v>
      </c>
      <c r="D35" s="145">
        <v>9310010490</v>
      </c>
      <c r="E35" s="145">
        <v>870</v>
      </c>
      <c r="F35" s="144">
        <v>290</v>
      </c>
      <c r="G35" s="7"/>
      <c r="H35" s="13">
        <v>150000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150000</v>
      </c>
      <c r="U35" s="24">
        <f>I35+J35+K35+L35+M35+N35+O35+P35+Q35+R35+S35+T35</f>
        <v>150000</v>
      </c>
      <c r="V35" s="199">
        <f t="shared" si="7"/>
        <v>150000</v>
      </c>
    </row>
    <row r="36" spans="1:22" ht="12.75">
      <c r="A36" s="5"/>
      <c r="B36" s="29" t="s">
        <v>53</v>
      </c>
      <c r="C36" s="149" t="s">
        <v>19</v>
      </c>
      <c r="D36" s="154"/>
      <c r="E36" s="154"/>
      <c r="F36" s="149"/>
      <c r="G36" s="34"/>
      <c r="H36" s="20">
        <f aca="true" t="shared" si="10" ref="H36:T36">H35</f>
        <v>150000</v>
      </c>
      <c r="I36" s="19">
        <f t="shared" si="10"/>
        <v>0</v>
      </c>
      <c r="J36" s="19">
        <f t="shared" si="10"/>
        <v>0</v>
      </c>
      <c r="K36" s="19">
        <f t="shared" si="10"/>
        <v>0</v>
      </c>
      <c r="L36" s="19">
        <f t="shared" si="10"/>
        <v>0</v>
      </c>
      <c r="M36" s="19">
        <f t="shared" si="10"/>
        <v>0</v>
      </c>
      <c r="N36" s="19">
        <f t="shared" si="10"/>
        <v>0</v>
      </c>
      <c r="O36" s="19">
        <f t="shared" si="10"/>
        <v>0</v>
      </c>
      <c r="P36" s="19">
        <f t="shared" si="10"/>
        <v>0</v>
      </c>
      <c r="Q36" s="19">
        <f t="shared" si="10"/>
        <v>0</v>
      </c>
      <c r="R36" s="19">
        <f t="shared" si="10"/>
        <v>0</v>
      </c>
      <c r="S36" s="19">
        <f t="shared" si="10"/>
        <v>0</v>
      </c>
      <c r="T36" s="19">
        <f t="shared" si="10"/>
        <v>150000</v>
      </c>
      <c r="U36" s="23">
        <f>I36+J36+K36+L36+M36+N36+O36+P36+Q36+R36+S36+T36</f>
        <v>150000</v>
      </c>
      <c r="V36" s="21">
        <f t="shared" si="7"/>
        <v>150000</v>
      </c>
    </row>
    <row r="37" spans="1:22" s="214" customFormat="1" ht="12.75">
      <c r="A37" s="205"/>
      <c r="B37" s="206"/>
      <c r="C37" s="207" t="s">
        <v>8</v>
      </c>
      <c r="D37" s="208">
        <v>9400000000</v>
      </c>
      <c r="E37" s="208"/>
      <c r="F37" s="209"/>
      <c r="G37" s="210"/>
      <c r="H37" s="211">
        <v>60600</v>
      </c>
      <c r="I37" s="211"/>
      <c r="J37" s="211"/>
      <c r="K37" s="211">
        <v>15150</v>
      </c>
      <c r="L37" s="211">
        <v>0</v>
      </c>
      <c r="M37" s="211"/>
      <c r="N37" s="211">
        <v>15150</v>
      </c>
      <c r="O37" s="211">
        <v>0</v>
      </c>
      <c r="P37" s="211"/>
      <c r="Q37" s="211">
        <v>15150</v>
      </c>
      <c r="R37" s="211">
        <v>0</v>
      </c>
      <c r="S37" s="211"/>
      <c r="T37" s="211">
        <v>15150</v>
      </c>
      <c r="U37" s="212"/>
      <c r="V37" s="213">
        <f t="shared" si="7"/>
        <v>60600</v>
      </c>
    </row>
    <row r="38" spans="1:22" ht="12.75">
      <c r="A38" s="5"/>
      <c r="B38" s="31"/>
      <c r="C38" s="149" t="s">
        <v>8</v>
      </c>
      <c r="D38" s="187">
        <v>9420000000</v>
      </c>
      <c r="E38" s="187"/>
      <c r="F38" s="188"/>
      <c r="G38" s="34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24"/>
      <c r="V38" s="21">
        <f t="shared" si="7"/>
        <v>0</v>
      </c>
    </row>
    <row r="39" spans="1:22" ht="12.75">
      <c r="A39" s="5"/>
      <c r="B39" s="31"/>
      <c r="C39" s="149" t="s">
        <v>8</v>
      </c>
      <c r="D39" s="187">
        <v>9420000480</v>
      </c>
      <c r="E39" s="187">
        <v>540</v>
      </c>
      <c r="F39" s="188">
        <v>251</v>
      </c>
      <c r="G39" s="34"/>
      <c r="H39" s="198">
        <v>60600</v>
      </c>
      <c r="I39" s="19"/>
      <c r="J39" s="19"/>
      <c r="K39" s="157">
        <v>15150</v>
      </c>
      <c r="L39" s="157"/>
      <c r="M39" s="157"/>
      <c r="N39" s="157">
        <v>15150</v>
      </c>
      <c r="O39" s="157"/>
      <c r="P39" s="157"/>
      <c r="Q39" s="157">
        <v>15150</v>
      </c>
      <c r="R39" s="157"/>
      <c r="S39" s="157"/>
      <c r="T39" s="157">
        <v>15150</v>
      </c>
      <c r="U39" s="24"/>
      <c r="V39" s="21">
        <f t="shared" si="7"/>
        <v>60600</v>
      </c>
    </row>
    <row r="40" spans="1:22" ht="89.25">
      <c r="A40" s="26" t="s">
        <v>42</v>
      </c>
      <c r="B40" s="35" t="s">
        <v>114</v>
      </c>
      <c r="C40" s="148" t="s">
        <v>8</v>
      </c>
      <c r="D40" s="161">
        <v>5400000000</v>
      </c>
      <c r="E40" s="117"/>
      <c r="F40" s="117"/>
      <c r="G40" s="36"/>
      <c r="H40" s="39">
        <f aca="true" t="shared" si="11" ref="H40:T40">H42+H49+H61</f>
        <v>9981477.52</v>
      </c>
      <c r="I40" s="39">
        <f t="shared" si="11"/>
        <v>531603.52</v>
      </c>
      <c r="J40" s="39">
        <f t="shared" si="11"/>
        <v>612253</v>
      </c>
      <c r="K40" s="39">
        <f t="shared" si="11"/>
        <v>665200</v>
      </c>
      <c r="L40" s="39">
        <f t="shared" si="11"/>
        <v>728267</v>
      </c>
      <c r="M40" s="39">
        <f t="shared" si="11"/>
        <v>685400</v>
      </c>
      <c r="N40" s="39">
        <f t="shared" si="11"/>
        <v>704200</v>
      </c>
      <c r="O40" s="39">
        <f t="shared" si="11"/>
        <v>711750</v>
      </c>
      <c r="P40" s="39">
        <f t="shared" si="11"/>
        <v>934900</v>
      </c>
      <c r="Q40" s="39">
        <f t="shared" si="11"/>
        <v>822700</v>
      </c>
      <c r="R40" s="39">
        <f t="shared" si="11"/>
        <v>1152215</v>
      </c>
      <c r="S40" s="39">
        <f t="shared" si="11"/>
        <v>1239589</v>
      </c>
      <c r="T40" s="39">
        <f t="shared" si="11"/>
        <v>1193400</v>
      </c>
      <c r="U40" s="24">
        <f>I40+J40+K40+L40+M40+N40+O40+P40+Q40+R40+S40+T40</f>
        <v>9981477.52</v>
      </c>
      <c r="V40" s="21">
        <f t="shared" si="7"/>
        <v>9981477.52</v>
      </c>
    </row>
    <row r="41" spans="1:22" ht="12.75">
      <c r="A41" s="42"/>
      <c r="B41" s="43"/>
      <c r="C41" s="122"/>
      <c r="D41" s="123"/>
      <c r="E41" s="123"/>
      <c r="F41" s="123"/>
      <c r="G41" s="45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24"/>
      <c r="V41" s="21">
        <f t="shared" si="7"/>
        <v>0</v>
      </c>
    </row>
    <row r="42" spans="1:22" ht="38.25">
      <c r="A42" s="26" t="s">
        <v>42</v>
      </c>
      <c r="B42" s="35" t="s">
        <v>59</v>
      </c>
      <c r="C42" s="159" t="s">
        <v>8</v>
      </c>
      <c r="D42" s="160">
        <v>5410000000</v>
      </c>
      <c r="E42" s="124"/>
      <c r="F42" s="124"/>
      <c r="G42" s="51"/>
      <c r="H42" s="52">
        <f aca="true" t="shared" si="12" ref="H42:T42">H43+H44+H45+H46+H47</f>
        <v>2529900</v>
      </c>
      <c r="I42" s="52">
        <f t="shared" si="12"/>
        <v>192500</v>
      </c>
      <c r="J42" s="52">
        <f t="shared" si="12"/>
        <v>206700</v>
      </c>
      <c r="K42" s="52">
        <f t="shared" si="12"/>
        <v>151000</v>
      </c>
      <c r="L42" s="52">
        <f t="shared" si="12"/>
        <v>228500</v>
      </c>
      <c r="M42" s="52">
        <f t="shared" si="12"/>
        <v>192500</v>
      </c>
      <c r="N42" s="52">
        <f t="shared" si="12"/>
        <v>234000</v>
      </c>
      <c r="O42" s="52">
        <f t="shared" si="12"/>
        <v>244800</v>
      </c>
      <c r="P42" s="52">
        <f t="shared" si="12"/>
        <v>222700</v>
      </c>
      <c r="Q42" s="52">
        <f t="shared" si="12"/>
        <v>222500</v>
      </c>
      <c r="R42" s="52">
        <f t="shared" si="12"/>
        <v>192500</v>
      </c>
      <c r="S42" s="52">
        <f t="shared" si="12"/>
        <v>203300</v>
      </c>
      <c r="T42" s="52">
        <f t="shared" si="12"/>
        <v>238900</v>
      </c>
      <c r="U42" s="24">
        <f aca="true" t="shared" si="13" ref="U42:U47">I42+J42+K42+L42+M42+N42+O42+P42+Q42+R42+S42+T42</f>
        <v>2529900</v>
      </c>
      <c r="V42" s="21">
        <f t="shared" si="7"/>
        <v>2529900</v>
      </c>
    </row>
    <row r="43" spans="1:22" ht="12.75">
      <c r="A43" s="5" t="s">
        <v>42</v>
      </c>
      <c r="B43" s="3" t="s">
        <v>7</v>
      </c>
      <c r="C43" s="144" t="s">
        <v>8</v>
      </c>
      <c r="D43" s="144">
        <v>5410100590</v>
      </c>
      <c r="E43" s="153">
        <v>111</v>
      </c>
      <c r="F43" s="144">
        <v>211</v>
      </c>
      <c r="G43" s="1"/>
      <c r="H43" s="15">
        <f>1794800+45</f>
        <v>1794845</v>
      </c>
      <c r="I43" s="12">
        <v>149500</v>
      </c>
      <c r="J43" s="12">
        <f>149500+45</f>
        <v>149545</v>
      </c>
      <c r="K43" s="12">
        <f>149500-33500</f>
        <v>116000</v>
      </c>
      <c r="L43" s="12">
        <v>149500</v>
      </c>
      <c r="M43" s="12">
        <v>149500</v>
      </c>
      <c r="N43" s="12">
        <f>149500+33500</f>
        <v>183000</v>
      </c>
      <c r="O43" s="12">
        <v>149500</v>
      </c>
      <c r="P43" s="12">
        <v>149500</v>
      </c>
      <c r="Q43" s="12">
        <v>149500</v>
      </c>
      <c r="R43" s="12">
        <v>149500</v>
      </c>
      <c r="S43" s="12">
        <v>150300</v>
      </c>
      <c r="T43" s="12">
        <v>149500</v>
      </c>
      <c r="U43" s="24">
        <f t="shared" si="13"/>
        <v>1794845</v>
      </c>
      <c r="V43" s="21">
        <f t="shared" si="7"/>
        <v>1794845</v>
      </c>
    </row>
    <row r="44" spans="1:22" ht="12.75">
      <c r="A44" s="5" t="s">
        <v>42</v>
      </c>
      <c r="B44" s="3" t="s">
        <v>9</v>
      </c>
      <c r="C44" s="144" t="s">
        <v>8</v>
      </c>
      <c r="D44" s="144">
        <v>5410100590</v>
      </c>
      <c r="E44" s="153">
        <v>119</v>
      </c>
      <c r="F44" s="158">
        <v>213</v>
      </c>
      <c r="G44" s="1"/>
      <c r="H44" s="15">
        <f>542100-45</f>
        <v>542055</v>
      </c>
      <c r="I44" s="12">
        <v>43000</v>
      </c>
      <c r="J44" s="12">
        <f>23000-45</f>
        <v>22955</v>
      </c>
      <c r="K44" s="12">
        <f>43000-8000</f>
        <v>35000</v>
      </c>
      <c r="L44" s="12">
        <v>33000</v>
      </c>
      <c r="M44" s="12">
        <v>43000</v>
      </c>
      <c r="N44" s="12">
        <f>43000+8000</f>
        <v>51000</v>
      </c>
      <c r="O44" s="12">
        <v>43000</v>
      </c>
      <c r="P44" s="12">
        <v>73200</v>
      </c>
      <c r="Q44" s="12">
        <v>43000</v>
      </c>
      <c r="R44" s="12">
        <v>43000</v>
      </c>
      <c r="S44" s="12">
        <v>53000</v>
      </c>
      <c r="T44" s="12">
        <v>58900</v>
      </c>
      <c r="U44" s="24">
        <f t="shared" si="13"/>
        <v>542055</v>
      </c>
      <c r="V44" s="21">
        <f t="shared" si="7"/>
        <v>542055</v>
      </c>
    </row>
    <row r="45" spans="1:22" ht="12.75">
      <c r="A45" s="5" t="s">
        <v>42</v>
      </c>
      <c r="B45" s="3" t="s">
        <v>15</v>
      </c>
      <c r="C45" s="144" t="s">
        <v>8</v>
      </c>
      <c r="D45" s="144">
        <v>5410100590</v>
      </c>
      <c r="E45" s="153">
        <v>244</v>
      </c>
      <c r="F45" s="144">
        <v>226</v>
      </c>
      <c r="G45" s="1"/>
      <c r="H45" s="15">
        <v>160000</v>
      </c>
      <c r="I45" s="12">
        <v>0</v>
      </c>
      <c r="J45" s="12">
        <v>34200</v>
      </c>
      <c r="K45" s="12">
        <v>0</v>
      </c>
      <c r="L45" s="12">
        <v>30000</v>
      </c>
      <c r="M45" s="12">
        <v>0</v>
      </c>
      <c r="N45" s="12">
        <v>0</v>
      </c>
      <c r="O45" s="12">
        <f>70000-34200</f>
        <v>35800</v>
      </c>
      <c r="P45" s="12">
        <v>0</v>
      </c>
      <c r="Q45" s="12">
        <v>30000</v>
      </c>
      <c r="R45" s="12">
        <v>0</v>
      </c>
      <c r="S45" s="12">
        <v>0</v>
      </c>
      <c r="T45" s="12">
        <v>30000</v>
      </c>
      <c r="U45" s="24">
        <f t="shared" si="13"/>
        <v>160000</v>
      </c>
      <c r="V45" s="21">
        <f t="shared" si="7"/>
        <v>160000</v>
      </c>
    </row>
    <row r="46" spans="1:22" ht="12.75">
      <c r="A46" s="5" t="s">
        <v>42</v>
      </c>
      <c r="B46" s="3" t="s">
        <v>17</v>
      </c>
      <c r="C46" s="144" t="s">
        <v>8</v>
      </c>
      <c r="D46" s="144">
        <v>5410100590</v>
      </c>
      <c r="E46" s="153">
        <v>244</v>
      </c>
      <c r="F46" s="144">
        <v>340</v>
      </c>
      <c r="G46" s="1"/>
      <c r="H46" s="15">
        <v>32000</v>
      </c>
      <c r="I46" s="12">
        <v>0</v>
      </c>
      <c r="J46" s="12">
        <v>0</v>
      </c>
      <c r="K46" s="12">
        <v>0</v>
      </c>
      <c r="L46" s="12">
        <v>16000</v>
      </c>
      <c r="M46" s="12">
        <v>0</v>
      </c>
      <c r="N46" s="12">
        <v>0</v>
      </c>
      <c r="O46" s="12">
        <v>16000</v>
      </c>
      <c r="P46" s="12">
        <v>0</v>
      </c>
      <c r="Q46" s="12">
        <v>0</v>
      </c>
      <c r="R46" s="12">
        <v>0</v>
      </c>
      <c r="S46" s="12">
        <v>0</v>
      </c>
      <c r="T46" s="12">
        <v>0</v>
      </c>
      <c r="U46" s="24">
        <f t="shared" si="13"/>
        <v>32000</v>
      </c>
      <c r="V46" s="21">
        <f t="shared" si="7"/>
        <v>32000</v>
      </c>
    </row>
    <row r="47" spans="1:22" ht="12.75">
      <c r="A47" s="5" t="s">
        <v>42</v>
      </c>
      <c r="B47" s="3" t="s">
        <v>16</v>
      </c>
      <c r="C47" s="144" t="s">
        <v>8</v>
      </c>
      <c r="D47" s="144">
        <v>5410100590</v>
      </c>
      <c r="E47" s="153">
        <v>852</v>
      </c>
      <c r="F47" s="144">
        <v>290</v>
      </c>
      <c r="G47" s="2" t="s">
        <v>60</v>
      </c>
      <c r="H47" s="15">
        <v>1000</v>
      </c>
      <c r="I47" s="12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500</v>
      </c>
      <c r="P47" s="12">
        <v>0</v>
      </c>
      <c r="Q47" s="12">
        <v>0</v>
      </c>
      <c r="R47" s="12">
        <v>0</v>
      </c>
      <c r="S47" s="12">
        <v>0</v>
      </c>
      <c r="T47" s="12">
        <v>500</v>
      </c>
      <c r="U47" s="24">
        <f t="shared" si="13"/>
        <v>1000</v>
      </c>
      <c r="V47" s="21">
        <f t="shared" si="7"/>
        <v>1000</v>
      </c>
    </row>
    <row r="48" spans="1:22" ht="12.75">
      <c r="A48" s="5"/>
      <c r="B48" s="3"/>
      <c r="C48" s="113"/>
      <c r="D48" s="113"/>
      <c r="E48" s="120"/>
      <c r="F48" s="113"/>
      <c r="G48" s="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24"/>
      <c r="V48" s="21">
        <f t="shared" si="7"/>
        <v>0</v>
      </c>
    </row>
    <row r="49" spans="1:22" ht="85.5" customHeight="1">
      <c r="A49" s="26" t="s">
        <v>42</v>
      </c>
      <c r="B49" s="35" t="s">
        <v>61</v>
      </c>
      <c r="C49" s="159" t="s">
        <v>8</v>
      </c>
      <c r="D49" s="160">
        <v>5420000000</v>
      </c>
      <c r="E49" s="160"/>
      <c r="F49" s="126"/>
      <c r="G49" s="51"/>
      <c r="H49" s="52">
        <f aca="true" t="shared" si="14" ref="H49:T49">H50+H51+H52+H53+H54+H55+H56+H57+H58+H59</f>
        <v>6309177.52</v>
      </c>
      <c r="I49" s="52">
        <f t="shared" si="14"/>
        <v>276777.52</v>
      </c>
      <c r="J49" s="52">
        <f t="shared" si="14"/>
        <v>312953</v>
      </c>
      <c r="K49" s="52">
        <f t="shared" si="14"/>
        <v>421600</v>
      </c>
      <c r="L49" s="52">
        <f t="shared" si="14"/>
        <v>406667</v>
      </c>
      <c r="M49" s="52">
        <f t="shared" si="14"/>
        <v>400300</v>
      </c>
      <c r="N49" s="52">
        <f t="shared" si="14"/>
        <v>377600</v>
      </c>
      <c r="O49" s="52">
        <f t="shared" si="14"/>
        <v>399350</v>
      </c>
      <c r="P49" s="52">
        <f t="shared" si="14"/>
        <v>619600</v>
      </c>
      <c r="Q49" s="52">
        <f t="shared" si="14"/>
        <v>507600</v>
      </c>
      <c r="R49" s="52">
        <f t="shared" si="14"/>
        <v>867115</v>
      </c>
      <c r="S49" s="52">
        <f t="shared" si="14"/>
        <v>897415</v>
      </c>
      <c r="T49" s="52">
        <f t="shared" si="14"/>
        <v>822200</v>
      </c>
      <c r="U49" s="24">
        <f aca="true" t="shared" si="15" ref="U49:U59">I49+J49+K49+L49+M49+N49+O49+P49+Q49+R49+S49+T49</f>
        <v>6309177.52</v>
      </c>
      <c r="V49" s="21">
        <f t="shared" si="7"/>
        <v>6309177.52</v>
      </c>
    </row>
    <row r="50" spans="1:22" ht="12.75">
      <c r="A50" s="5" t="s">
        <v>42</v>
      </c>
      <c r="B50" s="3" t="s">
        <v>7</v>
      </c>
      <c r="C50" s="144" t="s">
        <v>8</v>
      </c>
      <c r="D50" s="144">
        <v>5420100590</v>
      </c>
      <c r="E50" s="153">
        <v>111</v>
      </c>
      <c r="F50" s="144">
        <v>211</v>
      </c>
      <c r="G50" s="2"/>
      <c r="H50" s="15">
        <v>4330400</v>
      </c>
      <c r="I50" s="12">
        <f>100200+30600</f>
        <v>130800</v>
      </c>
      <c r="J50" s="12">
        <f>180200+30600</f>
        <v>210800</v>
      </c>
      <c r="K50" s="12">
        <f>230200+30600</f>
        <v>260800</v>
      </c>
      <c r="L50" s="12">
        <f>210200+30600</f>
        <v>240800</v>
      </c>
      <c r="M50" s="12">
        <f>230200+30600</f>
        <v>260800</v>
      </c>
      <c r="N50" s="12">
        <f>230200+30600</f>
        <v>260800</v>
      </c>
      <c r="O50" s="12">
        <f>230200+30600</f>
        <v>260800</v>
      </c>
      <c r="P50" s="12">
        <f>430200+30600</f>
        <v>460800</v>
      </c>
      <c r="Q50" s="12">
        <f>330200+30600</f>
        <v>360800</v>
      </c>
      <c r="R50" s="12">
        <f>630200+30600</f>
        <v>660800</v>
      </c>
      <c r="S50" s="12">
        <f>600200+30600</f>
        <v>630800</v>
      </c>
      <c r="T50" s="12">
        <f>560300+30600-700+1400</f>
        <v>591600</v>
      </c>
      <c r="U50" s="24">
        <f t="shared" si="15"/>
        <v>4330400</v>
      </c>
      <c r="V50" s="21">
        <f t="shared" si="7"/>
        <v>4330400</v>
      </c>
    </row>
    <row r="51" spans="1:22" ht="12.75">
      <c r="A51" s="5" t="s">
        <v>42</v>
      </c>
      <c r="B51" s="3" t="s">
        <v>9</v>
      </c>
      <c r="C51" s="144" t="s">
        <v>8</v>
      </c>
      <c r="D51" s="144">
        <v>5420100590</v>
      </c>
      <c r="E51" s="153">
        <v>119</v>
      </c>
      <c r="F51" s="144">
        <v>213</v>
      </c>
      <c r="G51" s="2"/>
      <c r="H51" s="15">
        <v>1307800</v>
      </c>
      <c r="I51" s="12">
        <f>79700+9200</f>
        <v>88900</v>
      </c>
      <c r="J51" s="12">
        <f>69700+9200</f>
        <v>78900</v>
      </c>
      <c r="K51" s="12">
        <f>75100+9200</f>
        <v>84300</v>
      </c>
      <c r="L51" s="12">
        <f>99700+9200</f>
        <v>108900</v>
      </c>
      <c r="M51" s="12">
        <f>99700+9200</f>
        <v>108900</v>
      </c>
      <c r="N51" s="12">
        <f>69700+9200</f>
        <v>78900</v>
      </c>
      <c r="O51" s="12">
        <f>99700+9200</f>
        <v>108900</v>
      </c>
      <c r="P51" s="12">
        <f>99700+9200</f>
        <v>108900</v>
      </c>
      <c r="Q51" s="12">
        <f>99700+9200</f>
        <v>108900</v>
      </c>
      <c r="R51" s="12">
        <f>124200+9200</f>
        <v>133400</v>
      </c>
      <c r="S51" s="12">
        <f>129700+10000</f>
        <v>139700</v>
      </c>
      <c r="T51" s="12">
        <f>150000+9200</f>
        <v>159200</v>
      </c>
      <c r="U51" s="24">
        <f t="shared" si="15"/>
        <v>1307800</v>
      </c>
      <c r="V51" s="21">
        <f t="shared" si="7"/>
        <v>1307800</v>
      </c>
    </row>
    <row r="52" spans="1:22" ht="12.75">
      <c r="A52" s="5" t="s">
        <v>42</v>
      </c>
      <c r="B52" s="3" t="s">
        <v>15</v>
      </c>
      <c r="C52" s="144" t="s">
        <v>8</v>
      </c>
      <c r="D52" s="144">
        <v>5420100590</v>
      </c>
      <c r="E52" s="153">
        <v>244</v>
      </c>
      <c r="F52" s="144">
        <v>226</v>
      </c>
      <c r="G52" s="2"/>
      <c r="H52" s="15">
        <v>93000</v>
      </c>
      <c r="I52" s="12">
        <v>0</v>
      </c>
      <c r="J52" s="12">
        <v>0</v>
      </c>
      <c r="K52" s="12">
        <v>0</v>
      </c>
      <c r="L52" s="12">
        <v>15000</v>
      </c>
      <c r="M52" s="12">
        <v>0</v>
      </c>
      <c r="N52" s="12">
        <v>0</v>
      </c>
      <c r="O52" s="12">
        <v>0</v>
      </c>
      <c r="P52" s="12">
        <v>0</v>
      </c>
      <c r="Q52" s="12">
        <v>0</v>
      </c>
      <c r="R52" s="12">
        <v>15000</v>
      </c>
      <c r="S52" s="12">
        <v>63000</v>
      </c>
      <c r="T52" s="12">
        <v>0</v>
      </c>
      <c r="U52" s="24">
        <f t="shared" si="15"/>
        <v>93000</v>
      </c>
      <c r="V52" s="21">
        <f t="shared" si="7"/>
        <v>93000</v>
      </c>
    </row>
    <row r="53" spans="1:22" ht="12.75">
      <c r="A53" s="5" t="s">
        <v>42</v>
      </c>
      <c r="B53" s="3" t="s">
        <v>16</v>
      </c>
      <c r="C53" s="144" t="s">
        <v>8</v>
      </c>
      <c r="D53" s="144">
        <v>5420100590</v>
      </c>
      <c r="E53" s="153">
        <v>244</v>
      </c>
      <c r="F53" s="144">
        <v>290</v>
      </c>
      <c r="G53" s="2"/>
      <c r="H53" s="15">
        <v>60000</v>
      </c>
      <c r="I53" s="12">
        <v>3000</v>
      </c>
      <c r="J53" s="12">
        <v>4200</v>
      </c>
      <c r="K53" s="12">
        <v>7000</v>
      </c>
      <c r="L53" s="12">
        <f>10700-4000</f>
        <v>6700</v>
      </c>
      <c r="M53" s="12">
        <f>10700-3000</f>
        <v>7700</v>
      </c>
      <c r="N53" s="12">
        <v>0</v>
      </c>
      <c r="O53" s="12">
        <v>0</v>
      </c>
      <c r="P53" s="12">
        <v>0</v>
      </c>
      <c r="Q53" s="12">
        <v>0</v>
      </c>
      <c r="R53" s="12">
        <v>10700</v>
      </c>
      <c r="S53" s="12">
        <v>10500</v>
      </c>
      <c r="T53" s="12">
        <v>10200</v>
      </c>
      <c r="U53" s="24">
        <f t="shared" si="15"/>
        <v>60000</v>
      </c>
      <c r="V53" s="21">
        <f t="shared" si="7"/>
        <v>60000</v>
      </c>
    </row>
    <row r="54" spans="1:22" ht="12.75">
      <c r="A54" s="5" t="s">
        <v>42</v>
      </c>
      <c r="B54" s="3" t="s">
        <v>18</v>
      </c>
      <c r="C54" s="144" t="s">
        <v>8</v>
      </c>
      <c r="D54" s="144">
        <v>5420100590</v>
      </c>
      <c r="E54" s="153">
        <v>244</v>
      </c>
      <c r="F54" s="144">
        <v>310</v>
      </c>
      <c r="G54" s="2"/>
      <c r="H54" s="15">
        <v>0</v>
      </c>
      <c r="I54" s="12">
        <v>0</v>
      </c>
      <c r="J54" s="12">
        <v>0</v>
      </c>
      <c r="K54" s="12">
        <v>0</v>
      </c>
      <c r="L54" s="12">
        <v>0</v>
      </c>
      <c r="M54" s="12">
        <v>0</v>
      </c>
      <c r="N54" s="12">
        <v>0</v>
      </c>
      <c r="O54" s="12">
        <v>0</v>
      </c>
      <c r="P54" s="12">
        <v>0</v>
      </c>
      <c r="Q54" s="12">
        <v>0</v>
      </c>
      <c r="R54" s="12">
        <v>0</v>
      </c>
      <c r="S54" s="12">
        <v>0</v>
      </c>
      <c r="T54" s="12">
        <v>0</v>
      </c>
      <c r="U54" s="24">
        <f t="shared" si="15"/>
        <v>0</v>
      </c>
      <c r="V54" s="21">
        <f t="shared" si="7"/>
        <v>0</v>
      </c>
    </row>
    <row r="55" spans="1:22" ht="12.75">
      <c r="A55" s="5" t="s">
        <v>42</v>
      </c>
      <c r="B55" s="3" t="s">
        <v>17</v>
      </c>
      <c r="C55" s="144" t="s">
        <v>8</v>
      </c>
      <c r="D55" s="144">
        <v>5420100590</v>
      </c>
      <c r="E55" s="153">
        <v>244</v>
      </c>
      <c r="F55" s="144">
        <v>340</v>
      </c>
      <c r="G55" s="2"/>
      <c r="H55" s="15">
        <v>90000</v>
      </c>
      <c r="I55" s="12">
        <v>10000</v>
      </c>
      <c r="J55" s="12">
        <v>1800</v>
      </c>
      <c r="K55" s="12">
        <f>11300+10000</f>
        <v>21300</v>
      </c>
      <c r="L55" s="12">
        <v>0</v>
      </c>
      <c r="M55" s="12">
        <v>0</v>
      </c>
      <c r="N55" s="12">
        <v>0</v>
      </c>
      <c r="O55" s="12">
        <v>0</v>
      </c>
      <c r="P55" s="12">
        <v>12000</v>
      </c>
      <c r="Q55" s="12">
        <v>0</v>
      </c>
      <c r="R55" s="12">
        <v>17585</v>
      </c>
      <c r="S55" s="12">
        <v>15515</v>
      </c>
      <c r="T55" s="12">
        <v>11800</v>
      </c>
      <c r="U55" s="24">
        <f t="shared" si="15"/>
        <v>90000</v>
      </c>
      <c r="V55" s="21">
        <f t="shared" si="7"/>
        <v>90000</v>
      </c>
    </row>
    <row r="56" spans="1:22" ht="12.75">
      <c r="A56" s="5" t="s">
        <v>42</v>
      </c>
      <c r="B56" s="3" t="s">
        <v>17</v>
      </c>
      <c r="C56" s="144" t="s">
        <v>8</v>
      </c>
      <c r="D56" s="144">
        <v>5420100590</v>
      </c>
      <c r="E56" s="153">
        <v>244</v>
      </c>
      <c r="F56" s="144">
        <v>340</v>
      </c>
      <c r="G56" s="2" t="s">
        <v>46</v>
      </c>
      <c r="H56" s="15">
        <f>391600+26177.52</f>
        <v>417777.52</v>
      </c>
      <c r="I56" s="12">
        <f>22700-4800+26177.52</f>
        <v>44077.520000000004</v>
      </c>
      <c r="J56" s="12">
        <f>17700-4800</f>
        <v>12900</v>
      </c>
      <c r="K56" s="12">
        <f>53000-4800</f>
        <v>48200</v>
      </c>
      <c r="L56" s="12">
        <f>39000-4800</f>
        <v>34200</v>
      </c>
      <c r="M56" s="12">
        <f>27700-4800</f>
        <v>22900</v>
      </c>
      <c r="N56" s="12">
        <f>42700-4800</f>
        <v>37900</v>
      </c>
      <c r="O56" s="12">
        <f>32700-4800</f>
        <v>27900</v>
      </c>
      <c r="P56" s="12">
        <f>42700-4800</f>
        <v>37900</v>
      </c>
      <c r="Q56" s="12">
        <f>42700-4800</f>
        <v>37900</v>
      </c>
      <c r="R56" s="12">
        <f>32700-4800</f>
        <v>27900</v>
      </c>
      <c r="S56" s="12">
        <f>42700-4800</f>
        <v>37900</v>
      </c>
      <c r="T56" s="12">
        <f>52900-4800</f>
        <v>48100</v>
      </c>
      <c r="U56" s="24">
        <f t="shared" si="15"/>
        <v>417777.52</v>
      </c>
      <c r="V56" s="21">
        <f t="shared" si="7"/>
        <v>417777.52</v>
      </c>
    </row>
    <row r="57" spans="1:22" ht="12.75">
      <c r="A57" s="5" t="s">
        <v>42</v>
      </c>
      <c r="B57" s="3" t="s">
        <v>16</v>
      </c>
      <c r="C57" s="144" t="s">
        <v>8</v>
      </c>
      <c r="D57" s="144">
        <v>5420100590</v>
      </c>
      <c r="E57" s="153">
        <v>851</v>
      </c>
      <c r="F57" s="144">
        <v>290</v>
      </c>
      <c r="G57" s="2" t="s">
        <v>60</v>
      </c>
      <c r="H57" s="15">
        <v>4000</v>
      </c>
      <c r="I57" s="12">
        <v>0</v>
      </c>
      <c r="J57" s="12">
        <v>683</v>
      </c>
      <c r="K57" s="12">
        <v>0</v>
      </c>
      <c r="L57" s="12">
        <f>1000-683</f>
        <v>317</v>
      </c>
      <c r="M57" s="12">
        <v>0</v>
      </c>
      <c r="N57" s="12">
        <v>0</v>
      </c>
      <c r="O57" s="12">
        <v>1000</v>
      </c>
      <c r="P57" s="12">
        <v>0</v>
      </c>
      <c r="Q57" s="12">
        <v>0</v>
      </c>
      <c r="R57" s="12">
        <v>1000</v>
      </c>
      <c r="S57" s="12">
        <v>0</v>
      </c>
      <c r="T57" s="12">
        <v>1000</v>
      </c>
      <c r="U57" s="24">
        <f t="shared" si="15"/>
        <v>4000</v>
      </c>
      <c r="V57" s="21">
        <f t="shared" si="7"/>
        <v>4000</v>
      </c>
    </row>
    <row r="58" spans="1:22" ht="12.75">
      <c r="A58" s="5" t="s">
        <v>42</v>
      </c>
      <c r="B58" s="3" t="s">
        <v>16</v>
      </c>
      <c r="C58" s="144" t="s">
        <v>8</v>
      </c>
      <c r="D58" s="144">
        <v>5420100590</v>
      </c>
      <c r="E58" s="153">
        <v>852</v>
      </c>
      <c r="F58" s="144">
        <v>290</v>
      </c>
      <c r="G58" s="2" t="s">
        <v>60</v>
      </c>
      <c r="H58" s="15">
        <v>5000</v>
      </c>
      <c r="I58" s="12">
        <v>0</v>
      </c>
      <c r="J58" s="12">
        <v>3670</v>
      </c>
      <c r="K58" s="12">
        <v>0</v>
      </c>
      <c r="L58" s="12">
        <f>1250-800</f>
        <v>450</v>
      </c>
      <c r="M58" s="12">
        <v>0</v>
      </c>
      <c r="N58" s="12">
        <v>0</v>
      </c>
      <c r="O58" s="12">
        <f>1250-800</f>
        <v>450</v>
      </c>
      <c r="P58" s="12">
        <v>0</v>
      </c>
      <c r="Q58" s="12">
        <v>0</v>
      </c>
      <c r="R58" s="12">
        <f>1250-820</f>
        <v>430</v>
      </c>
      <c r="S58" s="12">
        <v>0</v>
      </c>
      <c r="T58" s="12">
        <v>0</v>
      </c>
      <c r="U58" s="24">
        <f t="shared" si="15"/>
        <v>5000</v>
      </c>
      <c r="V58" s="21">
        <f t="shared" si="7"/>
        <v>5000</v>
      </c>
    </row>
    <row r="59" spans="1:22" ht="12.75">
      <c r="A59" s="5" t="s">
        <v>42</v>
      </c>
      <c r="B59" s="3" t="s">
        <v>16</v>
      </c>
      <c r="C59" s="144" t="s">
        <v>8</v>
      </c>
      <c r="D59" s="144">
        <v>5420100590</v>
      </c>
      <c r="E59" s="153">
        <v>853</v>
      </c>
      <c r="F59" s="144">
        <v>290</v>
      </c>
      <c r="G59" s="2" t="s">
        <v>60</v>
      </c>
      <c r="H59" s="15">
        <v>1200</v>
      </c>
      <c r="I59" s="12">
        <v>0</v>
      </c>
      <c r="J59" s="12">
        <v>0</v>
      </c>
      <c r="K59" s="12">
        <v>0</v>
      </c>
      <c r="L59" s="12">
        <v>300</v>
      </c>
      <c r="M59" s="12">
        <v>0</v>
      </c>
      <c r="N59" s="12">
        <v>0</v>
      </c>
      <c r="O59" s="12">
        <v>300</v>
      </c>
      <c r="P59" s="12">
        <v>0</v>
      </c>
      <c r="Q59" s="12">
        <v>0</v>
      </c>
      <c r="R59" s="12">
        <v>300</v>
      </c>
      <c r="S59" s="12">
        <v>0</v>
      </c>
      <c r="T59" s="12">
        <v>300</v>
      </c>
      <c r="U59" s="24">
        <f t="shared" si="15"/>
        <v>1200</v>
      </c>
      <c r="V59" s="21">
        <f t="shared" si="7"/>
        <v>1200</v>
      </c>
    </row>
    <row r="60" spans="1:22" ht="12.75">
      <c r="A60" s="5"/>
      <c r="B60" s="1"/>
      <c r="C60" s="113"/>
      <c r="D60" s="113"/>
      <c r="E60" s="120"/>
      <c r="F60" s="113"/>
      <c r="G60" s="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24"/>
      <c r="V60" s="21">
        <f aca="true" t="shared" si="16" ref="V60:V91">SUM(I60:T60)</f>
        <v>0</v>
      </c>
    </row>
    <row r="61" spans="1:22" ht="51">
      <c r="A61" s="26" t="s">
        <v>42</v>
      </c>
      <c r="B61" s="35" t="s">
        <v>62</v>
      </c>
      <c r="C61" s="159" t="s">
        <v>8</v>
      </c>
      <c r="D61" s="160">
        <v>5430000000</v>
      </c>
      <c r="E61" s="124"/>
      <c r="F61" s="126"/>
      <c r="G61" s="51"/>
      <c r="H61" s="52">
        <f aca="true" t="shared" si="17" ref="H61:T61">H62+H63+H64+H65+H66</f>
        <v>1142400</v>
      </c>
      <c r="I61" s="52">
        <f t="shared" si="17"/>
        <v>62326</v>
      </c>
      <c r="J61" s="52">
        <f t="shared" si="17"/>
        <v>92600</v>
      </c>
      <c r="K61" s="52">
        <f t="shared" si="17"/>
        <v>92600</v>
      </c>
      <c r="L61" s="52">
        <f t="shared" si="17"/>
        <v>93100</v>
      </c>
      <c r="M61" s="52">
        <f t="shared" si="17"/>
        <v>92600</v>
      </c>
      <c r="N61" s="52">
        <f t="shared" si="17"/>
        <v>92600</v>
      </c>
      <c r="O61" s="52">
        <f t="shared" si="17"/>
        <v>67600</v>
      </c>
      <c r="P61" s="52">
        <f t="shared" si="17"/>
        <v>92600</v>
      </c>
      <c r="Q61" s="52">
        <f t="shared" si="17"/>
        <v>92600</v>
      </c>
      <c r="R61" s="52">
        <f t="shared" si="17"/>
        <v>92600</v>
      </c>
      <c r="S61" s="52">
        <f t="shared" si="17"/>
        <v>138874</v>
      </c>
      <c r="T61" s="52">
        <f t="shared" si="17"/>
        <v>132300</v>
      </c>
      <c r="U61" s="24">
        <f aca="true" t="shared" si="18" ref="U61:U66">I61+J61+K61+L61+M61+N61+O61+P61+Q61+R61+S61+T61</f>
        <v>1142400</v>
      </c>
      <c r="V61" s="21">
        <f t="shared" si="16"/>
        <v>1142400</v>
      </c>
    </row>
    <row r="62" spans="1:22" ht="12.75">
      <c r="A62" s="5" t="s">
        <v>42</v>
      </c>
      <c r="B62" s="3" t="s">
        <v>7</v>
      </c>
      <c r="C62" s="144" t="s">
        <v>8</v>
      </c>
      <c r="D62" s="144">
        <v>5430100590</v>
      </c>
      <c r="E62" s="153">
        <v>111</v>
      </c>
      <c r="F62" s="144">
        <v>211</v>
      </c>
      <c r="G62" s="2"/>
      <c r="H62" s="15">
        <f>854000+14</f>
        <v>854014</v>
      </c>
      <c r="I62" s="12">
        <f>47800+3300+14</f>
        <v>51114</v>
      </c>
      <c r="J62" s="12">
        <f>67800+3300</f>
        <v>71100</v>
      </c>
      <c r="K62" s="12">
        <f>67800+3300</f>
        <v>71100</v>
      </c>
      <c r="L62" s="12">
        <f>67800+3300</f>
        <v>71100</v>
      </c>
      <c r="M62" s="12">
        <f>67800+3300</f>
        <v>71100</v>
      </c>
      <c r="N62" s="12">
        <f>67800+3300</f>
        <v>71100</v>
      </c>
      <c r="O62" s="12">
        <f>47800+3300</f>
        <v>51100</v>
      </c>
      <c r="P62" s="12">
        <f>67800+3300</f>
        <v>71100</v>
      </c>
      <c r="Q62" s="12">
        <f>67800+3300</f>
        <v>71100</v>
      </c>
      <c r="R62" s="12">
        <f>67800+3300</f>
        <v>71100</v>
      </c>
      <c r="S62" s="12">
        <f>87800+4400</f>
        <v>92200</v>
      </c>
      <c r="T62" s="12">
        <f>87500+3300</f>
        <v>90800</v>
      </c>
      <c r="U62" s="24">
        <f t="shared" si="18"/>
        <v>854014</v>
      </c>
      <c r="V62" s="21">
        <f t="shared" si="16"/>
        <v>854014</v>
      </c>
    </row>
    <row r="63" spans="1:22" ht="12.75">
      <c r="A63" s="5" t="s">
        <v>42</v>
      </c>
      <c r="B63" s="3" t="s">
        <v>9</v>
      </c>
      <c r="C63" s="144" t="s">
        <v>8</v>
      </c>
      <c r="D63" s="144">
        <v>5430100590</v>
      </c>
      <c r="E63" s="153">
        <v>119</v>
      </c>
      <c r="F63" s="144">
        <v>213</v>
      </c>
      <c r="G63" s="2"/>
      <c r="H63" s="15">
        <f>257900+12</f>
        <v>257912</v>
      </c>
      <c r="I63" s="12">
        <f>11200+12</f>
        <v>11212</v>
      </c>
      <c r="J63" s="12">
        <v>21500</v>
      </c>
      <c r="K63" s="12">
        <v>21500</v>
      </c>
      <c r="L63" s="12">
        <v>21500</v>
      </c>
      <c r="M63" s="12">
        <v>21500</v>
      </c>
      <c r="N63" s="12">
        <v>21500</v>
      </c>
      <c r="O63" s="12">
        <v>11500</v>
      </c>
      <c r="P63" s="12">
        <v>21500</v>
      </c>
      <c r="Q63" s="12">
        <v>21500</v>
      </c>
      <c r="R63" s="12">
        <v>21500</v>
      </c>
      <c r="S63" s="12">
        <v>31700</v>
      </c>
      <c r="T63" s="12">
        <v>31500</v>
      </c>
      <c r="U63" s="24">
        <f t="shared" si="18"/>
        <v>257912</v>
      </c>
      <c r="V63" s="21">
        <f t="shared" si="16"/>
        <v>257912</v>
      </c>
    </row>
    <row r="64" spans="1:22" ht="12.75">
      <c r="A64" s="5" t="s">
        <v>42</v>
      </c>
      <c r="B64" s="3" t="s">
        <v>15</v>
      </c>
      <c r="C64" s="144" t="s">
        <v>8</v>
      </c>
      <c r="D64" s="144">
        <v>5430100590</v>
      </c>
      <c r="E64" s="153">
        <v>244</v>
      </c>
      <c r="F64" s="144">
        <v>226</v>
      </c>
      <c r="G64" s="2"/>
      <c r="H64" s="15">
        <f>20000-26</f>
        <v>19974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  <c r="P64" s="12">
        <v>0</v>
      </c>
      <c r="Q64" s="12">
        <v>0</v>
      </c>
      <c r="R64" s="12">
        <v>0</v>
      </c>
      <c r="S64" s="12">
        <f>10000-26</f>
        <v>9974</v>
      </c>
      <c r="T64" s="12">
        <v>10000</v>
      </c>
      <c r="U64" s="24">
        <f t="shared" si="18"/>
        <v>19974</v>
      </c>
      <c r="V64" s="21">
        <f t="shared" si="16"/>
        <v>19974</v>
      </c>
    </row>
    <row r="65" spans="1:22" ht="12.75">
      <c r="A65" s="5" t="s">
        <v>42</v>
      </c>
      <c r="B65" s="3" t="s">
        <v>17</v>
      </c>
      <c r="C65" s="144" t="s">
        <v>8</v>
      </c>
      <c r="D65" s="144">
        <v>5430100590</v>
      </c>
      <c r="E65" s="153">
        <v>244</v>
      </c>
      <c r="F65" s="144">
        <v>340</v>
      </c>
      <c r="G65" s="2"/>
      <c r="H65" s="15">
        <v>10000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5000</v>
      </c>
      <c r="P65" s="12">
        <v>0</v>
      </c>
      <c r="Q65" s="12">
        <v>0</v>
      </c>
      <c r="R65" s="12">
        <v>0</v>
      </c>
      <c r="S65" s="12">
        <v>5000</v>
      </c>
      <c r="T65" s="12">
        <v>0</v>
      </c>
      <c r="U65" s="24">
        <f t="shared" si="18"/>
        <v>10000</v>
      </c>
      <c r="V65" s="21">
        <f t="shared" si="16"/>
        <v>10000</v>
      </c>
    </row>
    <row r="66" spans="1:22" ht="12.75">
      <c r="A66" s="5" t="s">
        <v>42</v>
      </c>
      <c r="B66" s="3" t="s">
        <v>16</v>
      </c>
      <c r="C66" s="144" t="s">
        <v>8</v>
      </c>
      <c r="D66" s="144">
        <v>5430100590</v>
      </c>
      <c r="E66" s="153">
        <v>853</v>
      </c>
      <c r="F66" s="144">
        <v>290</v>
      </c>
      <c r="G66" s="2" t="s">
        <v>60</v>
      </c>
      <c r="H66" s="15">
        <v>500</v>
      </c>
      <c r="I66" s="12">
        <v>0</v>
      </c>
      <c r="J66" s="12">
        <v>0</v>
      </c>
      <c r="K66" s="12">
        <v>0</v>
      </c>
      <c r="L66" s="12">
        <v>500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24">
        <f t="shared" si="18"/>
        <v>500</v>
      </c>
      <c r="V66" s="21">
        <f t="shared" si="16"/>
        <v>500</v>
      </c>
    </row>
    <row r="67" spans="1:22" ht="12.75">
      <c r="A67" s="5"/>
      <c r="B67" s="1"/>
      <c r="C67" s="113"/>
      <c r="D67" s="113"/>
      <c r="E67" s="120"/>
      <c r="F67" s="113"/>
      <c r="G67" s="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24"/>
      <c r="V67" s="21">
        <f t="shared" si="16"/>
        <v>0</v>
      </c>
    </row>
    <row r="68" spans="1:22" ht="89.25">
      <c r="A68" s="26" t="s">
        <v>42</v>
      </c>
      <c r="B68" s="35" t="s">
        <v>117</v>
      </c>
      <c r="C68" s="148" t="s">
        <v>8</v>
      </c>
      <c r="D68" s="161">
        <v>5500000000</v>
      </c>
      <c r="E68" s="124"/>
      <c r="F68" s="126"/>
      <c r="G68" s="41"/>
      <c r="H68" s="39">
        <f aca="true" t="shared" si="19" ref="H68:T68">H70+H86+H89+H93</f>
        <v>1200230.71</v>
      </c>
      <c r="I68" s="39">
        <f t="shared" si="19"/>
        <v>44137.5</v>
      </c>
      <c r="J68" s="39">
        <f t="shared" si="19"/>
        <v>59100</v>
      </c>
      <c r="K68" s="39">
        <f t="shared" si="19"/>
        <v>64100</v>
      </c>
      <c r="L68" s="39">
        <f t="shared" si="19"/>
        <v>186100</v>
      </c>
      <c r="M68" s="39">
        <f t="shared" si="19"/>
        <v>64100</v>
      </c>
      <c r="N68" s="39">
        <f t="shared" si="19"/>
        <v>59800</v>
      </c>
      <c r="O68" s="39">
        <f t="shared" si="19"/>
        <v>85100</v>
      </c>
      <c r="P68" s="39">
        <f t="shared" si="19"/>
        <v>44100</v>
      </c>
      <c r="Q68" s="39">
        <f t="shared" si="19"/>
        <v>49400</v>
      </c>
      <c r="R68" s="39">
        <f t="shared" si="19"/>
        <v>165308.73</v>
      </c>
      <c r="S68" s="39">
        <f t="shared" si="19"/>
        <v>172357.48</v>
      </c>
      <c r="T68" s="39">
        <f t="shared" si="19"/>
        <v>206627</v>
      </c>
      <c r="U68" s="24">
        <f>I68+J68+K68+L68+M68+N68+O68+P68+Q68+R68+S68+T68</f>
        <v>1200230.71</v>
      </c>
      <c r="V68" s="21">
        <f t="shared" si="16"/>
        <v>1200230.71</v>
      </c>
    </row>
    <row r="69" spans="1:22" ht="12.75">
      <c r="A69" s="5"/>
      <c r="B69" s="1"/>
      <c r="C69" s="113"/>
      <c r="D69" s="113"/>
      <c r="E69" s="120"/>
      <c r="F69" s="113"/>
      <c r="G69" s="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4"/>
      <c r="V69" s="21">
        <f t="shared" si="16"/>
        <v>0</v>
      </c>
    </row>
    <row r="70" spans="1:22" ht="86.25" customHeight="1">
      <c r="A70" s="26" t="s">
        <v>42</v>
      </c>
      <c r="B70" s="35" t="s">
        <v>118</v>
      </c>
      <c r="C70" s="159" t="s">
        <v>8</v>
      </c>
      <c r="D70" s="160">
        <v>5510000000</v>
      </c>
      <c r="E70" s="124"/>
      <c r="F70" s="126"/>
      <c r="G70" s="51"/>
      <c r="H70" s="52">
        <f aca="true" t="shared" si="20" ref="H70:T70">H71+H72+H73+H74+H75+H76+H80+H81+H82+H83</f>
        <v>803630.71</v>
      </c>
      <c r="I70" s="52">
        <f t="shared" si="20"/>
        <v>44137.5</v>
      </c>
      <c r="J70" s="52">
        <f t="shared" si="20"/>
        <v>30400</v>
      </c>
      <c r="K70" s="52">
        <f t="shared" si="20"/>
        <v>35400</v>
      </c>
      <c r="L70" s="52">
        <f t="shared" si="20"/>
        <v>157400</v>
      </c>
      <c r="M70" s="52">
        <f t="shared" si="20"/>
        <v>35400</v>
      </c>
      <c r="N70" s="52">
        <f t="shared" si="20"/>
        <v>31100</v>
      </c>
      <c r="O70" s="52">
        <f t="shared" si="20"/>
        <v>56400</v>
      </c>
      <c r="P70" s="52">
        <f t="shared" si="20"/>
        <v>15400</v>
      </c>
      <c r="Q70" s="52">
        <f t="shared" si="20"/>
        <v>20700</v>
      </c>
      <c r="R70" s="52">
        <f t="shared" si="20"/>
        <v>131608.73</v>
      </c>
      <c r="S70" s="52">
        <f t="shared" si="20"/>
        <v>137057.48</v>
      </c>
      <c r="T70" s="52">
        <f t="shared" si="20"/>
        <v>108627</v>
      </c>
      <c r="U70" s="24">
        <f aca="true" t="shared" si="21" ref="U70:U76">I70+J70+K70+L70+M70+N70+O70+P70+Q70+R70+S70+T70</f>
        <v>803630.71</v>
      </c>
      <c r="V70" s="21">
        <f t="shared" si="16"/>
        <v>803630.71</v>
      </c>
    </row>
    <row r="71" spans="1:22" ht="41.25" customHeight="1" hidden="1">
      <c r="A71" s="5" t="s">
        <v>42</v>
      </c>
      <c r="B71" s="47" t="s">
        <v>16</v>
      </c>
      <c r="C71" s="119" t="s">
        <v>8</v>
      </c>
      <c r="D71" s="127">
        <v>5510110010</v>
      </c>
      <c r="E71" s="127">
        <v>244</v>
      </c>
      <c r="F71" s="127">
        <v>290</v>
      </c>
      <c r="G71" s="48"/>
      <c r="H71" s="15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24">
        <f t="shared" si="21"/>
        <v>0</v>
      </c>
      <c r="V71" s="21">
        <f t="shared" si="16"/>
        <v>0</v>
      </c>
    </row>
    <row r="72" spans="1:22" ht="24.75" customHeight="1">
      <c r="A72" s="5" t="s">
        <v>42</v>
      </c>
      <c r="B72" s="3" t="s">
        <v>12</v>
      </c>
      <c r="C72" s="152" t="s">
        <v>8</v>
      </c>
      <c r="D72" s="162">
        <v>5510110010</v>
      </c>
      <c r="E72" s="162">
        <v>244</v>
      </c>
      <c r="F72" s="162">
        <v>221</v>
      </c>
      <c r="G72" s="48" t="s">
        <v>100</v>
      </c>
      <c r="H72" s="15">
        <v>8000</v>
      </c>
      <c r="I72" s="12">
        <v>600</v>
      </c>
      <c r="J72" s="12">
        <v>600</v>
      </c>
      <c r="K72" s="12">
        <v>600</v>
      </c>
      <c r="L72" s="12">
        <v>600</v>
      </c>
      <c r="M72" s="12">
        <v>600</v>
      </c>
      <c r="N72" s="12">
        <v>600</v>
      </c>
      <c r="O72" s="12">
        <v>600</v>
      </c>
      <c r="P72" s="12">
        <v>600</v>
      </c>
      <c r="Q72" s="12">
        <v>600</v>
      </c>
      <c r="R72" s="12">
        <v>600</v>
      </c>
      <c r="S72" s="12">
        <v>1000</v>
      </c>
      <c r="T72" s="12">
        <v>1000</v>
      </c>
      <c r="U72" s="24">
        <f t="shared" si="21"/>
        <v>8000</v>
      </c>
      <c r="V72" s="21">
        <f t="shared" si="16"/>
        <v>8000</v>
      </c>
    </row>
    <row r="73" spans="1:22" ht="24.75" customHeight="1">
      <c r="A73" s="5" t="s">
        <v>42</v>
      </c>
      <c r="B73" s="3" t="s">
        <v>13</v>
      </c>
      <c r="C73" s="152" t="s">
        <v>8</v>
      </c>
      <c r="D73" s="162">
        <v>5510110010</v>
      </c>
      <c r="E73" s="162">
        <v>244</v>
      </c>
      <c r="F73" s="162">
        <v>223</v>
      </c>
      <c r="G73" s="48" t="s">
        <v>101</v>
      </c>
      <c r="H73" s="15">
        <v>171700</v>
      </c>
      <c r="I73" s="12">
        <v>14300</v>
      </c>
      <c r="J73" s="12">
        <v>14300</v>
      </c>
      <c r="K73" s="12">
        <v>14300</v>
      </c>
      <c r="L73" s="12">
        <v>14300</v>
      </c>
      <c r="M73" s="12">
        <v>14300</v>
      </c>
      <c r="N73" s="12">
        <v>10000</v>
      </c>
      <c r="O73" s="12">
        <v>5000</v>
      </c>
      <c r="P73" s="12">
        <v>10000</v>
      </c>
      <c r="Q73" s="12">
        <v>14300</v>
      </c>
      <c r="R73" s="12">
        <v>18600</v>
      </c>
      <c r="S73" s="12">
        <v>18600</v>
      </c>
      <c r="T73" s="12">
        <v>23700</v>
      </c>
      <c r="U73" s="24">
        <f t="shared" si="21"/>
        <v>171700</v>
      </c>
      <c r="V73" s="21">
        <f t="shared" si="16"/>
        <v>171700</v>
      </c>
    </row>
    <row r="74" spans="1:22" ht="18.75" customHeight="1">
      <c r="A74" s="5" t="s">
        <v>42</v>
      </c>
      <c r="B74" s="3" t="s">
        <v>13</v>
      </c>
      <c r="C74" s="152" t="s">
        <v>8</v>
      </c>
      <c r="D74" s="162">
        <v>5510110010</v>
      </c>
      <c r="E74" s="162">
        <v>244</v>
      </c>
      <c r="F74" s="162">
        <v>223</v>
      </c>
      <c r="G74" s="48" t="s">
        <v>43</v>
      </c>
      <c r="H74" s="15">
        <v>11500</v>
      </c>
      <c r="I74" s="12">
        <v>900</v>
      </c>
      <c r="J74" s="12">
        <v>900</v>
      </c>
      <c r="K74" s="12">
        <v>900</v>
      </c>
      <c r="L74" s="12">
        <v>900</v>
      </c>
      <c r="M74" s="12">
        <v>900</v>
      </c>
      <c r="N74" s="12">
        <v>900</v>
      </c>
      <c r="O74" s="12">
        <v>900</v>
      </c>
      <c r="P74" s="12">
        <v>900</v>
      </c>
      <c r="Q74" s="12">
        <v>900</v>
      </c>
      <c r="R74" s="12">
        <v>900</v>
      </c>
      <c r="S74" s="12">
        <v>900</v>
      </c>
      <c r="T74" s="12">
        <v>1600</v>
      </c>
      <c r="U74" s="24">
        <f t="shared" si="21"/>
        <v>11500</v>
      </c>
      <c r="V74" s="21">
        <f t="shared" si="16"/>
        <v>11500</v>
      </c>
    </row>
    <row r="75" spans="1:22" ht="15.75" customHeight="1">
      <c r="A75" s="5" t="s">
        <v>42</v>
      </c>
      <c r="B75" s="3" t="s">
        <v>13</v>
      </c>
      <c r="C75" s="152" t="s">
        <v>8</v>
      </c>
      <c r="D75" s="162">
        <v>5510110010</v>
      </c>
      <c r="E75" s="162">
        <v>244</v>
      </c>
      <c r="F75" s="162">
        <v>223</v>
      </c>
      <c r="G75" s="48" t="s">
        <v>45</v>
      </c>
      <c r="H75" s="15">
        <f>187800-57942.52</f>
        <v>129857.48000000001</v>
      </c>
      <c r="I75" s="12">
        <v>7000</v>
      </c>
      <c r="J75" s="12">
        <v>8700</v>
      </c>
      <c r="K75" s="12">
        <v>15700</v>
      </c>
      <c r="L75" s="12">
        <v>15700</v>
      </c>
      <c r="M75" s="12">
        <v>15700</v>
      </c>
      <c r="N75" s="12">
        <v>15700</v>
      </c>
      <c r="O75" s="12">
        <v>0</v>
      </c>
      <c r="P75" s="12">
        <v>0</v>
      </c>
      <c r="Q75" s="12">
        <v>0</v>
      </c>
      <c r="R75" s="12">
        <v>15700</v>
      </c>
      <c r="S75" s="12">
        <f>38400-2742.52</f>
        <v>35657.48</v>
      </c>
      <c r="T75" s="12">
        <f>55200-57942.52+2742.52</f>
        <v>0</v>
      </c>
      <c r="U75" s="24">
        <f t="shared" si="21"/>
        <v>129857.48000000001</v>
      </c>
      <c r="V75" s="21">
        <f t="shared" si="16"/>
        <v>129857.48000000001</v>
      </c>
    </row>
    <row r="76" spans="1:22" ht="17.25" customHeight="1">
      <c r="A76" s="5" t="s">
        <v>42</v>
      </c>
      <c r="B76" s="3" t="s">
        <v>13</v>
      </c>
      <c r="C76" s="152" t="s">
        <v>8</v>
      </c>
      <c r="D76" s="162">
        <v>5510110010</v>
      </c>
      <c r="E76" s="162">
        <v>244</v>
      </c>
      <c r="F76" s="162">
        <v>223</v>
      </c>
      <c r="G76" s="48" t="s">
        <v>102</v>
      </c>
      <c r="H76" s="15">
        <v>50000</v>
      </c>
      <c r="I76" s="12">
        <v>2000</v>
      </c>
      <c r="J76" s="12">
        <v>3900</v>
      </c>
      <c r="K76" s="12">
        <v>3900</v>
      </c>
      <c r="L76" s="12">
        <v>3900</v>
      </c>
      <c r="M76" s="12">
        <v>3900</v>
      </c>
      <c r="N76" s="12">
        <v>3900</v>
      </c>
      <c r="O76" s="12">
        <v>3900</v>
      </c>
      <c r="P76" s="12">
        <v>3900</v>
      </c>
      <c r="Q76" s="12">
        <v>4900</v>
      </c>
      <c r="R76" s="12">
        <v>4900</v>
      </c>
      <c r="S76" s="12">
        <v>4900</v>
      </c>
      <c r="T76" s="12">
        <v>6000</v>
      </c>
      <c r="U76" s="24">
        <f t="shared" si="21"/>
        <v>50000</v>
      </c>
      <c r="V76" s="21">
        <f t="shared" si="16"/>
        <v>50000</v>
      </c>
    </row>
    <row r="77" spans="1:22" ht="41.25" customHeight="1" hidden="1">
      <c r="A77" s="5"/>
      <c r="B77" s="47"/>
      <c r="C77" s="119"/>
      <c r="D77" s="127"/>
      <c r="E77" s="127"/>
      <c r="F77" s="127"/>
      <c r="G77" s="48"/>
      <c r="H77" s="15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24"/>
      <c r="V77" s="21">
        <f t="shared" si="16"/>
        <v>0</v>
      </c>
    </row>
    <row r="78" spans="1:22" ht="41.25" customHeight="1" hidden="1">
      <c r="A78" s="5"/>
      <c r="B78" s="47"/>
      <c r="C78" s="119"/>
      <c r="D78" s="127"/>
      <c r="E78" s="127"/>
      <c r="F78" s="127"/>
      <c r="G78" s="48"/>
      <c r="H78" s="15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24"/>
      <c r="V78" s="21">
        <f t="shared" si="16"/>
        <v>0</v>
      </c>
    </row>
    <row r="79" spans="1:22" ht="41.25" customHeight="1" hidden="1">
      <c r="A79" s="5"/>
      <c r="B79" s="47"/>
      <c r="C79" s="119"/>
      <c r="D79" s="127"/>
      <c r="E79" s="127"/>
      <c r="F79" s="127"/>
      <c r="G79" s="48"/>
      <c r="H79" s="15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24"/>
      <c r="V79" s="21">
        <f t="shared" si="16"/>
        <v>0</v>
      </c>
    </row>
    <row r="80" spans="1:22" ht="12.75">
      <c r="A80" s="5" t="s">
        <v>42</v>
      </c>
      <c r="B80" s="3" t="s">
        <v>17</v>
      </c>
      <c r="C80" s="144" t="s">
        <v>8</v>
      </c>
      <c r="D80" s="162">
        <v>5510110010</v>
      </c>
      <c r="E80" s="145">
        <v>244</v>
      </c>
      <c r="F80" s="144">
        <v>340</v>
      </c>
      <c r="G80" s="7"/>
      <c r="H80" s="15">
        <f>304300+19364.5</f>
        <v>323664.5</v>
      </c>
      <c r="I80" s="12">
        <v>19337.5</v>
      </c>
      <c r="J80" s="12">
        <v>0</v>
      </c>
      <c r="K80" s="12">
        <v>0</v>
      </c>
      <c r="L80" s="12">
        <v>76000</v>
      </c>
      <c r="M80" s="12">
        <v>0</v>
      </c>
      <c r="N80" s="12">
        <v>0</v>
      </c>
      <c r="O80" s="12">
        <v>0</v>
      </c>
      <c r="P80" s="12">
        <v>0</v>
      </c>
      <c r="Q80" s="12">
        <v>0</v>
      </c>
      <c r="R80" s="12">
        <v>76000</v>
      </c>
      <c r="S80" s="12">
        <v>76000</v>
      </c>
      <c r="T80" s="12">
        <f>76300+33-6</f>
        <v>76327</v>
      </c>
      <c r="U80" s="24">
        <f aca="true" t="shared" si="22" ref="U80:U87">I80+J80+K80+L80+M80+N80+O80+P80+Q80+R80+S80+T80</f>
        <v>323664.5</v>
      </c>
      <c r="V80" s="21">
        <f t="shared" si="16"/>
        <v>323664.5</v>
      </c>
    </row>
    <row r="81" spans="1:22" ht="12.75" hidden="1">
      <c r="A81" s="5" t="s">
        <v>42</v>
      </c>
      <c r="B81" s="3" t="s">
        <v>17</v>
      </c>
      <c r="C81" s="113" t="s">
        <v>8</v>
      </c>
      <c r="D81" s="127">
        <v>5510110010</v>
      </c>
      <c r="E81" s="114">
        <v>244</v>
      </c>
      <c r="F81" s="113">
        <v>340</v>
      </c>
      <c r="G81" s="7" t="s">
        <v>46</v>
      </c>
      <c r="H81" s="100">
        <v>0</v>
      </c>
      <c r="I81" s="78">
        <v>0</v>
      </c>
      <c r="J81" s="101">
        <v>0</v>
      </c>
      <c r="K81" s="101">
        <v>0</v>
      </c>
      <c r="L81" s="101">
        <v>0</v>
      </c>
      <c r="M81" s="101">
        <v>0</v>
      </c>
      <c r="N81" s="101">
        <v>0</v>
      </c>
      <c r="O81" s="101">
        <v>0</v>
      </c>
      <c r="P81" s="101">
        <v>0</v>
      </c>
      <c r="Q81" s="101">
        <v>0</v>
      </c>
      <c r="R81" s="101">
        <v>0</v>
      </c>
      <c r="S81" s="101">
        <v>0</v>
      </c>
      <c r="T81" s="101">
        <v>0</v>
      </c>
      <c r="U81" s="24">
        <f t="shared" si="22"/>
        <v>0</v>
      </c>
      <c r="V81" s="21">
        <f t="shared" si="16"/>
        <v>0</v>
      </c>
    </row>
    <row r="82" spans="1:22" ht="12.75">
      <c r="A82" s="5" t="s">
        <v>42</v>
      </c>
      <c r="B82" s="3" t="s">
        <v>15</v>
      </c>
      <c r="C82" s="144" t="s">
        <v>8</v>
      </c>
      <c r="D82" s="162">
        <v>5510110010</v>
      </c>
      <c r="E82" s="145">
        <v>244</v>
      </c>
      <c r="F82" s="144">
        <v>226</v>
      </c>
      <c r="G82" s="7"/>
      <c r="H82" s="100">
        <f>185027-57942.52-95391.27-2700+79915.52</f>
        <v>108908.73000000001</v>
      </c>
      <c r="I82" s="101">
        <v>0</v>
      </c>
      <c r="J82" s="101">
        <v>2000</v>
      </c>
      <c r="K82" s="101">
        <v>0</v>
      </c>
      <c r="L82" s="101">
        <v>46000</v>
      </c>
      <c r="M82" s="101">
        <v>0</v>
      </c>
      <c r="N82" s="101">
        <v>0</v>
      </c>
      <c r="O82" s="101">
        <v>46000</v>
      </c>
      <c r="P82" s="101">
        <v>0</v>
      </c>
      <c r="Q82" s="101">
        <v>0</v>
      </c>
      <c r="R82" s="101">
        <v>14908.73</v>
      </c>
      <c r="S82" s="101">
        <v>0</v>
      </c>
      <c r="T82" s="101">
        <f>47027+79915.52-126942.52</f>
        <v>0</v>
      </c>
      <c r="U82" s="24">
        <f t="shared" si="22"/>
        <v>108908.73</v>
      </c>
      <c r="V82" s="21">
        <f t="shared" si="16"/>
        <v>108908.73</v>
      </c>
    </row>
    <row r="83" spans="1:22" ht="12.75" hidden="1">
      <c r="A83" s="5" t="s">
        <v>42</v>
      </c>
      <c r="B83" s="47" t="s">
        <v>16</v>
      </c>
      <c r="C83" s="113" t="s">
        <v>8</v>
      </c>
      <c r="D83" s="127">
        <v>5510110010</v>
      </c>
      <c r="E83" s="114">
        <v>244</v>
      </c>
      <c r="F83" s="113">
        <v>290</v>
      </c>
      <c r="G83" s="7" t="s">
        <v>60</v>
      </c>
      <c r="H83" s="100">
        <v>0</v>
      </c>
      <c r="I83" s="78">
        <v>0</v>
      </c>
      <c r="J83" s="101">
        <v>0</v>
      </c>
      <c r="K83" s="101">
        <v>0</v>
      </c>
      <c r="L83" s="101">
        <v>0</v>
      </c>
      <c r="M83" s="101">
        <v>0</v>
      </c>
      <c r="N83" s="101">
        <v>0</v>
      </c>
      <c r="O83" s="101">
        <v>0</v>
      </c>
      <c r="P83" s="101">
        <v>0</v>
      </c>
      <c r="Q83" s="101">
        <v>0</v>
      </c>
      <c r="R83" s="101">
        <v>0</v>
      </c>
      <c r="S83" s="101">
        <v>0</v>
      </c>
      <c r="T83" s="101">
        <v>0</v>
      </c>
      <c r="U83" s="24">
        <f t="shared" si="22"/>
        <v>0</v>
      </c>
      <c r="V83" s="21">
        <f t="shared" si="16"/>
        <v>0</v>
      </c>
    </row>
    <row r="84" spans="1:22" ht="12.75">
      <c r="A84" s="5"/>
      <c r="B84" s="3"/>
      <c r="C84" s="113"/>
      <c r="D84" s="127"/>
      <c r="E84" s="114"/>
      <c r="F84" s="113"/>
      <c r="G84" s="7"/>
      <c r="H84" s="101"/>
      <c r="I84" s="78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24">
        <f t="shared" si="22"/>
        <v>0</v>
      </c>
      <c r="V84" s="21">
        <f t="shared" si="16"/>
        <v>0</v>
      </c>
    </row>
    <row r="85" spans="1:22" ht="12.75" hidden="1">
      <c r="A85" s="42"/>
      <c r="B85" s="43"/>
      <c r="C85" s="125"/>
      <c r="D85" s="125"/>
      <c r="E85" s="127"/>
      <c r="F85" s="125"/>
      <c r="G85" s="46"/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>
        <v>0</v>
      </c>
      <c r="N85" s="12">
        <v>0</v>
      </c>
      <c r="O85" s="12">
        <v>0</v>
      </c>
      <c r="P85" s="12">
        <v>0</v>
      </c>
      <c r="Q85" s="12">
        <v>0</v>
      </c>
      <c r="R85" s="12">
        <v>0</v>
      </c>
      <c r="S85" s="12">
        <v>0</v>
      </c>
      <c r="T85" s="12">
        <v>0</v>
      </c>
      <c r="U85" s="24">
        <f t="shared" si="22"/>
        <v>0</v>
      </c>
      <c r="V85" s="21">
        <f t="shared" si="16"/>
        <v>0</v>
      </c>
    </row>
    <row r="86" spans="1:22" ht="123" customHeight="1">
      <c r="A86" s="26" t="s">
        <v>42</v>
      </c>
      <c r="B86" s="35" t="s">
        <v>119</v>
      </c>
      <c r="C86" s="159" t="s">
        <v>8</v>
      </c>
      <c r="D86" s="160">
        <v>5520000000</v>
      </c>
      <c r="E86" s="160"/>
      <c r="F86" s="126"/>
      <c r="G86" s="51"/>
      <c r="H86" s="100">
        <f aca="true" t="shared" si="23" ref="H86:T86">H87</f>
        <v>344600</v>
      </c>
      <c r="I86" s="100">
        <f t="shared" si="23"/>
        <v>0</v>
      </c>
      <c r="J86" s="100">
        <f t="shared" si="23"/>
        <v>28700</v>
      </c>
      <c r="K86" s="100">
        <f t="shared" si="23"/>
        <v>28700</v>
      </c>
      <c r="L86" s="100">
        <f t="shared" si="23"/>
        <v>28700</v>
      </c>
      <c r="M86" s="100">
        <f t="shared" si="23"/>
        <v>28700</v>
      </c>
      <c r="N86" s="100">
        <f t="shared" si="23"/>
        <v>28700</v>
      </c>
      <c r="O86" s="100">
        <f t="shared" si="23"/>
        <v>28700</v>
      </c>
      <c r="P86" s="100">
        <f t="shared" si="23"/>
        <v>28700</v>
      </c>
      <c r="Q86" s="100">
        <f t="shared" si="23"/>
        <v>28700</v>
      </c>
      <c r="R86" s="100">
        <f t="shared" si="23"/>
        <v>28700</v>
      </c>
      <c r="S86" s="100">
        <f t="shared" si="23"/>
        <v>30300</v>
      </c>
      <c r="T86" s="100">
        <f t="shared" si="23"/>
        <v>56000</v>
      </c>
      <c r="U86" s="24">
        <f t="shared" si="22"/>
        <v>344600</v>
      </c>
      <c r="V86" s="21">
        <f t="shared" si="16"/>
        <v>344600</v>
      </c>
    </row>
    <row r="87" spans="1:22" ht="24.75" customHeight="1">
      <c r="A87" s="5" t="s">
        <v>42</v>
      </c>
      <c r="B87" s="47" t="s">
        <v>15</v>
      </c>
      <c r="C87" s="152" t="s">
        <v>8</v>
      </c>
      <c r="D87" s="162">
        <v>5520110020</v>
      </c>
      <c r="E87" s="162">
        <v>360</v>
      </c>
      <c r="F87" s="127"/>
      <c r="G87" s="46" t="s">
        <v>63</v>
      </c>
      <c r="H87" s="15">
        <v>344600</v>
      </c>
      <c r="I87" s="12">
        <v>0</v>
      </c>
      <c r="J87" s="12">
        <f aca="true" t="shared" si="24" ref="J87:R87">27300+1400</f>
        <v>28700</v>
      </c>
      <c r="K87" s="12">
        <f t="shared" si="24"/>
        <v>28700</v>
      </c>
      <c r="L87" s="12">
        <f t="shared" si="24"/>
        <v>28700</v>
      </c>
      <c r="M87" s="12">
        <f t="shared" si="24"/>
        <v>28700</v>
      </c>
      <c r="N87" s="12">
        <f t="shared" si="24"/>
        <v>28700</v>
      </c>
      <c r="O87" s="12">
        <f t="shared" si="24"/>
        <v>28700</v>
      </c>
      <c r="P87" s="12">
        <f t="shared" si="24"/>
        <v>28700</v>
      </c>
      <c r="Q87" s="12">
        <f t="shared" si="24"/>
        <v>28700</v>
      </c>
      <c r="R87" s="12">
        <f t="shared" si="24"/>
        <v>28700</v>
      </c>
      <c r="S87" s="12">
        <f>27300+1400+1600</f>
        <v>30300</v>
      </c>
      <c r="T87" s="12">
        <f>54600+1400</f>
        <v>56000</v>
      </c>
      <c r="U87" s="24">
        <f t="shared" si="22"/>
        <v>344600</v>
      </c>
      <c r="V87" s="21">
        <f t="shared" si="16"/>
        <v>344600</v>
      </c>
    </row>
    <row r="88" spans="1:22" ht="12.75">
      <c r="A88" s="5"/>
      <c r="B88" s="1"/>
      <c r="C88" s="144"/>
      <c r="D88" s="144"/>
      <c r="E88" s="153"/>
      <c r="F88" s="113"/>
      <c r="G88" s="2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V88" s="21">
        <f t="shared" si="16"/>
        <v>0</v>
      </c>
    </row>
    <row r="89" spans="1:22" ht="114.75">
      <c r="A89" s="26" t="s">
        <v>42</v>
      </c>
      <c r="B89" s="35" t="s">
        <v>120</v>
      </c>
      <c r="C89" s="159" t="s">
        <v>8</v>
      </c>
      <c r="D89" s="160">
        <v>5530000000</v>
      </c>
      <c r="E89" s="160"/>
      <c r="F89" s="163"/>
      <c r="G89" s="36"/>
      <c r="H89" s="100">
        <f aca="true" t="shared" si="25" ref="H89:T89">H91</f>
        <v>10000</v>
      </c>
      <c r="I89" s="52">
        <f t="shared" si="25"/>
        <v>0</v>
      </c>
      <c r="J89" s="52">
        <f t="shared" si="25"/>
        <v>0</v>
      </c>
      <c r="K89" s="52">
        <f t="shared" si="25"/>
        <v>0</v>
      </c>
      <c r="L89" s="52">
        <f t="shared" si="25"/>
        <v>0</v>
      </c>
      <c r="M89" s="52">
        <f t="shared" si="25"/>
        <v>0</v>
      </c>
      <c r="N89" s="52">
        <f t="shared" si="25"/>
        <v>0</v>
      </c>
      <c r="O89" s="52">
        <f t="shared" si="25"/>
        <v>0</v>
      </c>
      <c r="P89" s="52">
        <f t="shared" si="25"/>
        <v>0</v>
      </c>
      <c r="Q89" s="52">
        <f t="shared" si="25"/>
        <v>0</v>
      </c>
      <c r="R89" s="52">
        <f t="shared" si="25"/>
        <v>5000</v>
      </c>
      <c r="S89" s="52">
        <f t="shared" si="25"/>
        <v>5000</v>
      </c>
      <c r="T89" s="52">
        <f t="shared" si="25"/>
        <v>0</v>
      </c>
      <c r="U89" s="24">
        <f>I89+J89+K89+L89+M89+N89+O89+P89+Q89+R89+S89+T89</f>
        <v>10000</v>
      </c>
      <c r="V89" s="21">
        <f t="shared" si="16"/>
        <v>10000</v>
      </c>
    </row>
    <row r="90" spans="1:22" ht="12.75">
      <c r="A90" s="26"/>
      <c r="B90" s="35"/>
      <c r="C90" s="159"/>
      <c r="D90" s="160"/>
      <c r="E90" s="160"/>
      <c r="F90" s="163"/>
      <c r="G90" s="36"/>
      <c r="H90" s="40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V90" s="21">
        <f t="shared" si="16"/>
        <v>0</v>
      </c>
    </row>
    <row r="91" spans="1:22" ht="12.75">
      <c r="A91" s="5" t="s">
        <v>42</v>
      </c>
      <c r="B91" s="47" t="s">
        <v>16</v>
      </c>
      <c r="C91" s="152" t="s">
        <v>8</v>
      </c>
      <c r="D91" s="162">
        <v>5530110030</v>
      </c>
      <c r="E91" s="153">
        <v>244</v>
      </c>
      <c r="F91" s="144">
        <v>290</v>
      </c>
      <c r="G91" s="7"/>
      <c r="H91" s="15">
        <v>10000</v>
      </c>
      <c r="I91" s="12">
        <v>0</v>
      </c>
      <c r="J91" s="12">
        <v>0</v>
      </c>
      <c r="K91" s="12">
        <v>0</v>
      </c>
      <c r="L91" s="12">
        <v>0</v>
      </c>
      <c r="M91" s="12">
        <v>0</v>
      </c>
      <c r="N91" s="12">
        <v>0</v>
      </c>
      <c r="O91" s="12">
        <v>0</v>
      </c>
      <c r="P91" s="12">
        <v>0</v>
      </c>
      <c r="Q91" s="12">
        <v>0</v>
      </c>
      <c r="R91" s="12">
        <v>5000</v>
      </c>
      <c r="S91" s="12">
        <v>5000</v>
      </c>
      <c r="T91" s="12">
        <v>0</v>
      </c>
      <c r="U91" s="24">
        <f>I91+J91+K91+L91+M91+N91+O91+P91+Q91+R91+S91+T91</f>
        <v>10000</v>
      </c>
      <c r="V91" s="21">
        <f t="shared" si="16"/>
        <v>10000</v>
      </c>
    </row>
    <row r="92" spans="1:22" ht="12.75">
      <c r="A92" s="5"/>
      <c r="B92" s="47"/>
      <c r="C92" s="119"/>
      <c r="D92" s="127"/>
      <c r="E92" s="120"/>
      <c r="F92" s="113"/>
      <c r="G92" s="2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24">
        <f>I92+J92+K92+L92+M92+N92+O92+P92+Q92+R92+S92+T92</f>
        <v>0</v>
      </c>
      <c r="V92" s="21">
        <f aca="true" t="shared" si="26" ref="V92:V112">SUM(I92:T92)</f>
        <v>0</v>
      </c>
    </row>
    <row r="93" spans="1:22" ht="89.25">
      <c r="A93" s="26" t="s">
        <v>42</v>
      </c>
      <c r="B93" s="35" t="s">
        <v>121</v>
      </c>
      <c r="C93" s="159" t="s">
        <v>8</v>
      </c>
      <c r="D93" s="160">
        <v>5540000000</v>
      </c>
      <c r="E93" s="160"/>
      <c r="F93" s="163"/>
      <c r="G93" s="51"/>
      <c r="H93" s="15">
        <f aca="true" t="shared" si="27" ref="H93:T93">H94</f>
        <v>42000</v>
      </c>
      <c r="I93" s="15">
        <f t="shared" si="27"/>
        <v>0</v>
      </c>
      <c r="J93" s="15">
        <f t="shared" si="27"/>
        <v>0</v>
      </c>
      <c r="K93" s="15">
        <f t="shared" si="27"/>
        <v>0</v>
      </c>
      <c r="L93" s="15">
        <f t="shared" si="27"/>
        <v>0</v>
      </c>
      <c r="M93" s="15">
        <f t="shared" si="27"/>
        <v>0</v>
      </c>
      <c r="N93" s="15">
        <f t="shared" si="27"/>
        <v>0</v>
      </c>
      <c r="O93" s="15">
        <f t="shared" si="27"/>
        <v>0</v>
      </c>
      <c r="P93" s="15">
        <f t="shared" si="27"/>
        <v>0</v>
      </c>
      <c r="Q93" s="15">
        <f t="shared" si="27"/>
        <v>0</v>
      </c>
      <c r="R93" s="15">
        <f t="shared" si="27"/>
        <v>0</v>
      </c>
      <c r="S93" s="15">
        <f t="shared" si="27"/>
        <v>0</v>
      </c>
      <c r="T93" s="15">
        <f t="shared" si="27"/>
        <v>42000</v>
      </c>
      <c r="U93" s="24">
        <f>I93+J93+K93+L93+M93+N93+O93+P93+Q93+R93+S93+T93</f>
        <v>42000</v>
      </c>
      <c r="V93" s="21">
        <f t="shared" si="26"/>
        <v>42000</v>
      </c>
    </row>
    <row r="94" spans="1:22" ht="12.75">
      <c r="A94" s="5" t="s">
        <v>42</v>
      </c>
      <c r="B94" s="47" t="s">
        <v>15</v>
      </c>
      <c r="C94" s="152" t="s">
        <v>8</v>
      </c>
      <c r="D94" s="162">
        <v>5540110040</v>
      </c>
      <c r="E94" s="153">
        <v>244</v>
      </c>
      <c r="F94" s="144">
        <v>226</v>
      </c>
      <c r="G94" s="2"/>
      <c r="H94" s="15">
        <f>100000-58000</f>
        <v>42000</v>
      </c>
      <c r="I94" s="102">
        <v>0</v>
      </c>
      <c r="J94" s="102">
        <v>0</v>
      </c>
      <c r="K94" s="102">
        <v>0</v>
      </c>
      <c r="L94" s="102">
        <v>0</v>
      </c>
      <c r="M94" s="102">
        <v>0</v>
      </c>
      <c r="N94" s="102">
        <v>0</v>
      </c>
      <c r="O94" s="102">
        <v>0</v>
      </c>
      <c r="P94" s="102">
        <v>0</v>
      </c>
      <c r="Q94" s="102">
        <v>0</v>
      </c>
      <c r="R94" s="102">
        <v>0</v>
      </c>
      <c r="S94" s="102">
        <v>0</v>
      </c>
      <c r="T94" s="102">
        <f>100000-58000</f>
        <v>42000</v>
      </c>
      <c r="U94" s="24">
        <f>I94+J94+K94+L94+M94+N94+O94+P94+Q94+R94+S94+T94</f>
        <v>42000</v>
      </c>
      <c r="V94" s="21">
        <f t="shared" si="26"/>
        <v>42000</v>
      </c>
    </row>
    <row r="95" spans="1:22" ht="12.75">
      <c r="A95" s="5"/>
      <c r="B95" s="47"/>
      <c r="C95" s="119"/>
      <c r="D95" s="127"/>
      <c r="E95" s="120"/>
      <c r="F95" s="113"/>
      <c r="G95" s="2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24"/>
      <c r="V95" s="21">
        <f t="shared" si="26"/>
        <v>0</v>
      </c>
    </row>
    <row r="96" spans="1:22" ht="105" customHeight="1">
      <c r="A96" s="26" t="s">
        <v>42</v>
      </c>
      <c r="B96" s="35" t="s">
        <v>122</v>
      </c>
      <c r="C96" s="148" t="s">
        <v>8</v>
      </c>
      <c r="D96" s="161">
        <v>5600000000</v>
      </c>
      <c r="E96" s="124"/>
      <c r="F96" s="126"/>
      <c r="G96" s="41"/>
      <c r="H96" s="107">
        <f aca="true" t="shared" si="28" ref="H96:T96">H98+H104</f>
        <v>1138520.94</v>
      </c>
      <c r="I96" s="39">
        <f t="shared" si="28"/>
        <v>41400</v>
      </c>
      <c r="J96" s="39">
        <f t="shared" si="28"/>
        <v>203930.94</v>
      </c>
      <c r="K96" s="39">
        <f t="shared" si="28"/>
        <v>34700</v>
      </c>
      <c r="L96" s="39">
        <f t="shared" si="28"/>
        <v>84800</v>
      </c>
      <c r="M96" s="39">
        <f t="shared" si="28"/>
        <v>65500</v>
      </c>
      <c r="N96" s="39">
        <f t="shared" si="28"/>
        <v>45300</v>
      </c>
      <c r="O96" s="39">
        <f t="shared" si="28"/>
        <v>32300</v>
      </c>
      <c r="P96" s="39">
        <f t="shared" si="28"/>
        <v>106600</v>
      </c>
      <c r="Q96" s="39">
        <f t="shared" si="28"/>
        <v>30100</v>
      </c>
      <c r="R96" s="39">
        <f t="shared" si="28"/>
        <v>163300</v>
      </c>
      <c r="S96" s="39">
        <f t="shared" si="28"/>
        <v>162490</v>
      </c>
      <c r="T96" s="39">
        <f t="shared" si="28"/>
        <v>168100</v>
      </c>
      <c r="U96" s="24">
        <f>I96+J96+K96+L96+M96+N96+O96+P96+Q96+R96+S96+T96</f>
        <v>1138520.94</v>
      </c>
      <c r="V96" s="21">
        <f t="shared" si="26"/>
        <v>1138520.94</v>
      </c>
    </row>
    <row r="97" spans="1:22" ht="15" customHeight="1">
      <c r="A97" s="5"/>
      <c r="B97" s="47"/>
      <c r="C97" s="119"/>
      <c r="D97" s="127"/>
      <c r="E97" s="120"/>
      <c r="F97" s="113"/>
      <c r="G97" s="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24"/>
      <c r="V97" s="21">
        <f t="shared" si="26"/>
        <v>0</v>
      </c>
    </row>
    <row r="98" spans="1:22" ht="115.5" customHeight="1">
      <c r="A98" s="26" t="s">
        <v>42</v>
      </c>
      <c r="B98" s="35" t="s">
        <v>103</v>
      </c>
      <c r="C98" s="159" t="s">
        <v>8</v>
      </c>
      <c r="D98" s="160">
        <v>5610000000</v>
      </c>
      <c r="E98" s="124"/>
      <c r="F98" s="126"/>
      <c r="G98" s="51"/>
      <c r="H98" s="100">
        <f aca="true" t="shared" si="29" ref="H98:T98">H99+H100+H102+H101</f>
        <v>1038520.94</v>
      </c>
      <c r="I98" s="52">
        <f t="shared" si="29"/>
        <v>41400</v>
      </c>
      <c r="J98" s="52">
        <f t="shared" si="29"/>
        <v>149520.94</v>
      </c>
      <c r="K98" s="52">
        <f t="shared" si="29"/>
        <v>34700</v>
      </c>
      <c r="L98" s="52">
        <f t="shared" si="29"/>
        <v>76300</v>
      </c>
      <c r="M98" s="52">
        <f t="shared" si="29"/>
        <v>57000</v>
      </c>
      <c r="N98" s="52">
        <f t="shared" si="29"/>
        <v>36800</v>
      </c>
      <c r="O98" s="52">
        <f t="shared" si="29"/>
        <v>32300</v>
      </c>
      <c r="P98" s="52">
        <f t="shared" si="29"/>
        <v>106600</v>
      </c>
      <c r="Q98" s="52">
        <f t="shared" si="29"/>
        <v>30100</v>
      </c>
      <c r="R98" s="52">
        <f t="shared" si="29"/>
        <v>155300</v>
      </c>
      <c r="S98" s="52">
        <f t="shared" si="29"/>
        <v>157400</v>
      </c>
      <c r="T98" s="52">
        <f t="shared" si="29"/>
        <v>161100</v>
      </c>
      <c r="U98" s="24">
        <f aca="true" t="shared" si="30" ref="U98:U111">I98+J98+K98+L98+M98+N98+O98+P98+Q98+R98+S98+T98</f>
        <v>1038520.94</v>
      </c>
      <c r="V98" s="21">
        <f t="shared" si="26"/>
        <v>1038520.94</v>
      </c>
    </row>
    <row r="99" spans="1:22" ht="15" customHeight="1">
      <c r="A99" s="5" t="s">
        <v>42</v>
      </c>
      <c r="B99" s="47" t="s">
        <v>15</v>
      </c>
      <c r="C99" s="164" t="s">
        <v>8</v>
      </c>
      <c r="D99" s="162">
        <v>5610110060</v>
      </c>
      <c r="E99" s="162">
        <v>244</v>
      </c>
      <c r="F99" s="158">
        <v>226</v>
      </c>
      <c r="G99" s="45"/>
      <c r="H99" s="15">
        <v>571100</v>
      </c>
      <c r="I99" s="12">
        <v>27400</v>
      </c>
      <c r="J99" s="12">
        <f>6000+59200+59200</f>
        <v>124400</v>
      </c>
      <c r="K99" s="12">
        <v>7400</v>
      </c>
      <c r="L99" s="12">
        <v>40000</v>
      </c>
      <c r="M99" s="12">
        <v>20200</v>
      </c>
      <c r="N99" s="12">
        <v>0</v>
      </c>
      <c r="O99" s="12">
        <v>0</v>
      </c>
      <c r="P99" s="12">
        <f>138500-59200</f>
        <v>79300</v>
      </c>
      <c r="Q99" s="12">
        <v>2800</v>
      </c>
      <c r="R99" s="12">
        <v>103000</v>
      </c>
      <c r="S99" s="12">
        <f>149800-59200</f>
        <v>90600</v>
      </c>
      <c r="T99" s="12">
        <v>76000</v>
      </c>
      <c r="U99" s="24">
        <f t="shared" si="30"/>
        <v>571100</v>
      </c>
      <c r="V99" s="21">
        <f t="shared" si="26"/>
        <v>571100</v>
      </c>
    </row>
    <row r="100" spans="1:22" ht="15" customHeight="1">
      <c r="A100" s="25" t="s">
        <v>42</v>
      </c>
      <c r="B100" s="3" t="s">
        <v>12</v>
      </c>
      <c r="C100" s="164" t="s">
        <v>8</v>
      </c>
      <c r="D100" s="162">
        <v>5610110060</v>
      </c>
      <c r="E100" s="162">
        <v>242</v>
      </c>
      <c r="F100" s="158">
        <v>221</v>
      </c>
      <c r="G100" s="46" t="s">
        <v>96</v>
      </c>
      <c r="H100" s="15">
        <f>168000+19820.94</f>
        <v>187820.94</v>
      </c>
      <c r="I100" s="12">
        <v>4000</v>
      </c>
      <c r="J100" s="12">
        <f>7000+19820.94-9000</f>
        <v>17820.94</v>
      </c>
      <c r="K100" s="12">
        <v>14000</v>
      </c>
      <c r="L100" s="12">
        <v>14000</v>
      </c>
      <c r="M100" s="12">
        <v>14000</v>
      </c>
      <c r="N100" s="12">
        <v>14000</v>
      </c>
      <c r="O100" s="12">
        <v>14000</v>
      </c>
      <c r="P100" s="12">
        <v>14000</v>
      </c>
      <c r="Q100" s="12">
        <v>14000</v>
      </c>
      <c r="R100" s="12">
        <f>14000+9000</f>
        <v>23000</v>
      </c>
      <c r="S100" s="12">
        <v>21000</v>
      </c>
      <c r="T100" s="12">
        <v>24000</v>
      </c>
      <c r="U100" s="24">
        <f t="shared" si="30"/>
        <v>187820.94</v>
      </c>
      <c r="V100" s="21">
        <f t="shared" si="26"/>
        <v>187820.94</v>
      </c>
    </row>
    <row r="101" spans="1:22" ht="28.5" customHeight="1">
      <c r="A101" s="25" t="s">
        <v>42</v>
      </c>
      <c r="B101" s="3" t="s">
        <v>12</v>
      </c>
      <c r="C101" s="164" t="s">
        <v>8</v>
      </c>
      <c r="D101" s="162">
        <v>5610110060</v>
      </c>
      <c r="E101" s="162">
        <v>242</v>
      </c>
      <c r="F101" s="158">
        <v>221</v>
      </c>
      <c r="G101" s="103" t="s">
        <v>104</v>
      </c>
      <c r="H101" s="15">
        <v>159600</v>
      </c>
      <c r="I101" s="12">
        <v>10000</v>
      </c>
      <c r="J101" s="12">
        <v>7300</v>
      </c>
      <c r="K101" s="12">
        <v>13300</v>
      </c>
      <c r="L101" s="12">
        <v>13300</v>
      </c>
      <c r="M101" s="12">
        <v>13300</v>
      </c>
      <c r="N101" s="12">
        <v>13300</v>
      </c>
      <c r="O101" s="12">
        <v>13300</v>
      </c>
      <c r="P101" s="12">
        <v>13300</v>
      </c>
      <c r="Q101" s="12">
        <v>13300</v>
      </c>
      <c r="R101" s="12">
        <v>16300</v>
      </c>
      <c r="S101" s="12">
        <v>13300</v>
      </c>
      <c r="T101" s="12">
        <v>19600</v>
      </c>
      <c r="U101" s="24">
        <f t="shared" si="30"/>
        <v>159600</v>
      </c>
      <c r="V101" s="21">
        <f t="shared" si="26"/>
        <v>159600</v>
      </c>
    </row>
    <row r="102" spans="1:22" ht="17.25" customHeight="1">
      <c r="A102" s="5" t="s">
        <v>42</v>
      </c>
      <c r="B102" s="3" t="s">
        <v>18</v>
      </c>
      <c r="C102" s="164" t="s">
        <v>8</v>
      </c>
      <c r="D102" s="162">
        <v>5610110060</v>
      </c>
      <c r="E102" s="162">
        <v>244</v>
      </c>
      <c r="F102" s="158">
        <v>310</v>
      </c>
      <c r="G102" s="46"/>
      <c r="H102" s="17">
        <v>120000</v>
      </c>
      <c r="I102" s="12">
        <v>0</v>
      </c>
      <c r="J102" s="12">
        <v>0</v>
      </c>
      <c r="K102" s="12">
        <v>0</v>
      </c>
      <c r="L102" s="12">
        <v>9000</v>
      </c>
      <c r="M102" s="12">
        <v>9500</v>
      </c>
      <c r="N102" s="12">
        <f>0+9500</f>
        <v>9500</v>
      </c>
      <c r="O102" s="12">
        <v>5000</v>
      </c>
      <c r="P102" s="12">
        <v>0</v>
      </c>
      <c r="Q102" s="12">
        <v>0</v>
      </c>
      <c r="R102" s="12">
        <v>13000</v>
      </c>
      <c r="S102" s="12">
        <v>32500</v>
      </c>
      <c r="T102" s="12">
        <v>41500</v>
      </c>
      <c r="U102" s="24">
        <f t="shared" si="30"/>
        <v>120000</v>
      </c>
      <c r="V102" s="21">
        <f t="shared" si="26"/>
        <v>120000</v>
      </c>
    </row>
    <row r="103" spans="1:22" ht="15" customHeight="1">
      <c r="A103" s="42"/>
      <c r="B103" s="43"/>
      <c r="C103" s="122"/>
      <c r="D103" s="123"/>
      <c r="E103" s="127"/>
      <c r="F103" s="125"/>
      <c r="G103" s="46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24">
        <f t="shared" si="30"/>
        <v>0</v>
      </c>
      <c r="V103" s="21">
        <f t="shared" si="26"/>
        <v>0</v>
      </c>
    </row>
    <row r="104" spans="1:22" ht="86.25" customHeight="1">
      <c r="A104" s="26" t="s">
        <v>42</v>
      </c>
      <c r="B104" s="35" t="s">
        <v>123</v>
      </c>
      <c r="C104" s="159" t="s">
        <v>8</v>
      </c>
      <c r="D104" s="160">
        <v>5620000000</v>
      </c>
      <c r="E104" s="160"/>
      <c r="F104" s="163"/>
      <c r="G104" s="36"/>
      <c r="H104" s="100">
        <f aca="true" t="shared" si="31" ref="H104:T104">H105</f>
        <v>100000</v>
      </c>
      <c r="I104" s="52">
        <f t="shared" si="31"/>
        <v>0</v>
      </c>
      <c r="J104" s="52">
        <f t="shared" si="31"/>
        <v>54410</v>
      </c>
      <c r="K104" s="52">
        <f t="shared" si="31"/>
        <v>0</v>
      </c>
      <c r="L104" s="52">
        <f t="shared" si="31"/>
        <v>8500</v>
      </c>
      <c r="M104" s="52">
        <f t="shared" si="31"/>
        <v>8500</v>
      </c>
      <c r="N104" s="52">
        <f t="shared" si="31"/>
        <v>8500</v>
      </c>
      <c r="O104" s="52">
        <f t="shared" si="31"/>
        <v>0</v>
      </c>
      <c r="P104" s="52">
        <f t="shared" si="31"/>
        <v>0</v>
      </c>
      <c r="Q104" s="52">
        <f t="shared" si="31"/>
        <v>0</v>
      </c>
      <c r="R104" s="52">
        <f t="shared" si="31"/>
        <v>8000</v>
      </c>
      <c r="S104" s="52">
        <f t="shared" si="31"/>
        <v>5090</v>
      </c>
      <c r="T104" s="52">
        <f t="shared" si="31"/>
        <v>7000</v>
      </c>
      <c r="U104" s="24">
        <f t="shared" si="30"/>
        <v>100000</v>
      </c>
      <c r="V104" s="21">
        <f t="shared" si="26"/>
        <v>100000</v>
      </c>
    </row>
    <row r="105" spans="1:22" ht="25.5" customHeight="1">
      <c r="A105" s="104" t="s">
        <v>42</v>
      </c>
      <c r="B105" s="105" t="s">
        <v>15</v>
      </c>
      <c r="C105" s="165" t="s">
        <v>8</v>
      </c>
      <c r="D105" s="165">
        <v>5620110070</v>
      </c>
      <c r="E105" s="165">
        <v>244</v>
      </c>
      <c r="F105" s="165">
        <v>226</v>
      </c>
      <c r="G105" s="165"/>
      <c r="H105" s="15">
        <v>100000</v>
      </c>
      <c r="I105" s="12">
        <v>0</v>
      </c>
      <c r="J105" s="12">
        <f>0+54410</f>
        <v>54410</v>
      </c>
      <c r="K105" s="12">
        <v>0</v>
      </c>
      <c r="L105" s="12">
        <v>8500</v>
      </c>
      <c r="M105" s="12">
        <v>8500</v>
      </c>
      <c r="N105" s="12">
        <f>0+8500</f>
        <v>8500</v>
      </c>
      <c r="O105" s="12">
        <v>0</v>
      </c>
      <c r="P105" s="12">
        <v>0</v>
      </c>
      <c r="Q105" s="12">
        <v>0</v>
      </c>
      <c r="R105" s="12">
        <f>17000-9000</f>
        <v>8000</v>
      </c>
      <c r="S105" s="12">
        <f>25500-20410</f>
        <v>5090</v>
      </c>
      <c r="T105" s="12">
        <f>32000-25000</f>
        <v>7000</v>
      </c>
      <c r="U105" s="24">
        <f t="shared" si="30"/>
        <v>100000</v>
      </c>
      <c r="V105" s="21">
        <f t="shared" si="26"/>
        <v>100000</v>
      </c>
    </row>
    <row r="106" spans="1:22" ht="15" customHeight="1">
      <c r="A106" s="42"/>
      <c r="B106" s="43"/>
      <c r="C106" s="122"/>
      <c r="D106" s="123"/>
      <c r="E106" s="127"/>
      <c r="F106" s="125"/>
      <c r="G106" s="46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4">
        <f t="shared" si="30"/>
        <v>0</v>
      </c>
      <c r="V106" s="21">
        <f t="shared" si="26"/>
        <v>0</v>
      </c>
    </row>
    <row r="107" spans="1:22" ht="98.25" customHeight="1">
      <c r="A107" s="26" t="s">
        <v>42</v>
      </c>
      <c r="B107" s="35" t="s">
        <v>124</v>
      </c>
      <c r="C107" s="148" t="s">
        <v>8</v>
      </c>
      <c r="D107" s="161">
        <v>5700000000</v>
      </c>
      <c r="E107" s="160"/>
      <c r="F107" s="163"/>
      <c r="G107" s="41"/>
      <c r="H107" s="107">
        <f aca="true" t="shared" si="32" ref="H107:T107">H108</f>
        <v>60000</v>
      </c>
      <c r="I107" s="39">
        <f t="shared" si="32"/>
        <v>0</v>
      </c>
      <c r="J107" s="39">
        <f t="shared" si="32"/>
        <v>0</v>
      </c>
      <c r="K107" s="39">
        <f t="shared" si="32"/>
        <v>10000</v>
      </c>
      <c r="L107" s="39">
        <f t="shared" si="32"/>
        <v>0</v>
      </c>
      <c r="M107" s="39">
        <f t="shared" si="32"/>
        <v>6000</v>
      </c>
      <c r="N107" s="39">
        <f t="shared" si="32"/>
        <v>0</v>
      </c>
      <c r="O107" s="39">
        <f t="shared" si="32"/>
        <v>0</v>
      </c>
      <c r="P107" s="39">
        <f t="shared" si="32"/>
        <v>0</v>
      </c>
      <c r="Q107" s="39">
        <f t="shared" si="32"/>
        <v>0</v>
      </c>
      <c r="R107" s="39">
        <f t="shared" si="32"/>
        <v>0</v>
      </c>
      <c r="S107" s="39">
        <f t="shared" si="32"/>
        <v>10000</v>
      </c>
      <c r="T107" s="39">
        <f t="shared" si="32"/>
        <v>34000</v>
      </c>
      <c r="U107" s="24">
        <f t="shared" si="30"/>
        <v>60000</v>
      </c>
      <c r="V107" s="21">
        <f t="shared" si="26"/>
        <v>60000</v>
      </c>
    </row>
    <row r="108" spans="1:22" ht="21" customHeight="1">
      <c r="A108" s="104" t="s">
        <v>42</v>
      </c>
      <c r="B108" s="105" t="s">
        <v>16</v>
      </c>
      <c r="C108" s="165" t="s">
        <v>8</v>
      </c>
      <c r="D108" s="165">
        <v>5710110930</v>
      </c>
      <c r="E108" s="165">
        <v>244</v>
      </c>
      <c r="F108" s="165">
        <v>290</v>
      </c>
      <c r="G108" s="106"/>
      <c r="H108" s="15">
        <v>60000</v>
      </c>
      <c r="I108" s="12">
        <v>0</v>
      </c>
      <c r="J108" s="12">
        <v>0</v>
      </c>
      <c r="K108" s="12">
        <v>10000</v>
      </c>
      <c r="L108" s="12">
        <v>0</v>
      </c>
      <c r="M108" s="12">
        <f>16000-10000</f>
        <v>6000</v>
      </c>
      <c r="N108" s="12">
        <v>0</v>
      </c>
      <c r="O108" s="12">
        <v>0</v>
      </c>
      <c r="P108" s="12">
        <v>0</v>
      </c>
      <c r="Q108" s="12">
        <v>0</v>
      </c>
      <c r="R108" s="12">
        <v>0</v>
      </c>
      <c r="S108" s="12">
        <v>10000</v>
      </c>
      <c r="T108" s="12">
        <v>34000</v>
      </c>
      <c r="U108" s="24">
        <f t="shared" si="30"/>
        <v>60000</v>
      </c>
      <c r="V108" s="21">
        <f t="shared" si="26"/>
        <v>60000</v>
      </c>
    </row>
    <row r="109" spans="1:22" ht="15" customHeight="1">
      <c r="A109" s="42"/>
      <c r="B109" s="43"/>
      <c r="C109" s="122"/>
      <c r="D109" s="123"/>
      <c r="E109" s="127"/>
      <c r="F109" s="125"/>
      <c r="G109" s="46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24">
        <f t="shared" si="30"/>
        <v>0</v>
      </c>
      <c r="V109" s="21">
        <f t="shared" si="26"/>
        <v>0</v>
      </c>
    </row>
    <row r="110" spans="1:22" ht="96" customHeight="1">
      <c r="A110" s="26" t="s">
        <v>42</v>
      </c>
      <c r="B110" s="35" t="s">
        <v>125</v>
      </c>
      <c r="C110" s="148" t="s">
        <v>8</v>
      </c>
      <c r="D110" s="161">
        <v>8400000000</v>
      </c>
      <c r="E110" s="160"/>
      <c r="F110" s="163"/>
      <c r="G110" s="36"/>
      <c r="H110" s="107">
        <f aca="true" t="shared" si="33" ref="H110:T110">H111</f>
        <v>10000</v>
      </c>
      <c r="I110" s="39">
        <f t="shared" si="33"/>
        <v>0</v>
      </c>
      <c r="J110" s="39">
        <f t="shared" si="33"/>
        <v>0</v>
      </c>
      <c r="K110" s="39">
        <f t="shared" si="33"/>
        <v>0</v>
      </c>
      <c r="L110" s="39">
        <f t="shared" si="33"/>
        <v>0</v>
      </c>
      <c r="M110" s="39">
        <f t="shared" si="33"/>
        <v>0</v>
      </c>
      <c r="N110" s="39">
        <f t="shared" si="33"/>
        <v>0</v>
      </c>
      <c r="O110" s="39">
        <f t="shared" si="33"/>
        <v>0</v>
      </c>
      <c r="P110" s="39">
        <f t="shared" si="33"/>
        <v>0</v>
      </c>
      <c r="Q110" s="39">
        <f t="shared" si="33"/>
        <v>0</v>
      </c>
      <c r="R110" s="39">
        <f t="shared" si="33"/>
        <v>5000</v>
      </c>
      <c r="S110" s="39">
        <f t="shared" si="33"/>
        <v>5000</v>
      </c>
      <c r="T110" s="39">
        <f t="shared" si="33"/>
        <v>0</v>
      </c>
      <c r="U110" s="24">
        <f t="shared" si="30"/>
        <v>10000</v>
      </c>
      <c r="V110" s="21">
        <f t="shared" si="26"/>
        <v>10000</v>
      </c>
    </row>
    <row r="111" spans="1:22" ht="15" customHeight="1">
      <c r="A111" s="5" t="s">
        <v>42</v>
      </c>
      <c r="B111" s="47" t="s">
        <v>16</v>
      </c>
      <c r="C111" s="164" t="s">
        <v>8</v>
      </c>
      <c r="D111" s="162">
        <v>8410110290</v>
      </c>
      <c r="E111" s="162">
        <v>244</v>
      </c>
      <c r="F111" s="201">
        <v>290</v>
      </c>
      <c r="G111" s="45"/>
      <c r="H111" s="15">
        <v>10000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  <c r="P111" s="12">
        <v>0</v>
      </c>
      <c r="Q111" s="12">
        <v>0</v>
      </c>
      <c r="R111" s="12">
        <v>5000</v>
      </c>
      <c r="S111" s="12">
        <v>5000</v>
      </c>
      <c r="T111" s="12">
        <v>0</v>
      </c>
      <c r="U111" s="24">
        <f t="shared" si="30"/>
        <v>10000</v>
      </c>
      <c r="V111" s="21">
        <f t="shared" si="26"/>
        <v>10000</v>
      </c>
    </row>
    <row r="112" spans="1:22" ht="12.75">
      <c r="A112" s="5"/>
      <c r="B112" s="47"/>
      <c r="C112" s="128"/>
      <c r="D112" s="127"/>
      <c r="E112" s="127"/>
      <c r="F112" s="130"/>
      <c r="G112" s="46"/>
      <c r="H112" s="15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24"/>
      <c r="V112" s="21">
        <f t="shared" si="26"/>
        <v>0</v>
      </c>
    </row>
    <row r="113" spans="1:22" ht="12.75">
      <c r="A113" s="5"/>
      <c r="B113" s="29" t="s">
        <v>53</v>
      </c>
      <c r="C113" s="149" t="s">
        <v>8</v>
      </c>
      <c r="D113" s="127"/>
      <c r="E113" s="127"/>
      <c r="F113" s="130"/>
      <c r="G113" s="46"/>
      <c r="H113" s="20">
        <f>H110+H107+H96+H68+H40+H37</f>
        <v>12450829.17</v>
      </c>
      <c r="I113" s="19">
        <f>I110+I107+I96+I68+I40</f>
        <v>617141.02</v>
      </c>
      <c r="J113" s="19">
        <f>J110+J107+J96+J68+J40</f>
        <v>875283.94</v>
      </c>
      <c r="K113" s="19">
        <f>K110+K107+K96+K68+K40+K37</f>
        <v>789150</v>
      </c>
      <c r="L113" s="19">
        <f aca="true" t="shared" si="34" ref="L113:T113">L110+L107+L96+L68+L40</f>
        <v>999167</v>
      </c>
      <c r="M113" s="19">
        <f t="shared" si="34"/>
        <v>821000</v>
      </c>
      <c r="N113" s="19">
        <f t="shared" si="34"/>
        <v>809300</v>
      </c>
      <c r="O113" s="19">
        <f t="shared" si="34"/>
        <v>829150</v>
      </c>
      <c r="P113" s="19">
        <f t="shared" si="34"/>
        <v>1085600</v>
      </c>
      <c r="Q113" s="19">
        <f t="shared" si="34"/>
        <v>902200</v>
      </c>
      <c r="R113" s="19">
        <f t="shared" si="34"/>
        <v>1485823.73</v>
      </c>
      <c r="S113" s="19">
        <f t="shared" si="34"/>
        <v>1589436.48</v>
      </c>
      <c r="T113" s="19">
        <f t="shared" si="34"/>
        <v>1602127</v>
      </c>
      <c r="U113" s="24">
        <f>I113+J113+K113+L113+M113+N113+O113+P113+Q113+R113+S113+T113</f>
        <v>12405379.17</v>
      </c>
      <c r="V113" s="21">
        <f>V39+V40+V68+V96+V107+V110</f>
        <v>12450829.17</v>
      </c>
    </row>
    <row r="114" spans="1:22" ht="55.5" customHeight="1">
      <c r="A114" s="53"/>
      <c r="B114" s="54" t="s">
        <v>64</v>
      </c>
      <c r="C114" s="131"/>
      <c r="D114" s="131"/>
      <c r="E114" s="131"/>
      <c r="F114" s="131"/>
      <c r="G114" s="55"/>
      <c r="H114" s="56">
        <f aca="true" t="shared" si="35" ref="H114:M114">H113+H36+H30+H27+H9+H33</f>
        <v>21876802.17</v>
      </c>
      <c r="I114" s="56">
        <f t="shared" si="35"/>
        <v>971966.02</v>
      </c>
      <c r="J114" s="56">
        <f t="shared" si="35"/>
        <v>1586754.94</v>
      </c>
      <c r="K114" s="56">
        <f t="shared" si="35"/>
        <v>1198104</v>
      </c>
      <c r="L114" s="56">
        <f t="shared" si="35"/>
        <v>1517592</v>
      </c>
      <c r="M114" s="56">
        <f t="shared" si="35"/>
        <v>1368325</v>
      </c>
      <c r="N114" s="56">
        <f>N113+N36+N30+N27+N9+N33+N37</f>
        <v>1342675</v>
      </c>
      <c r="O114" s="56">
        <f>O113+O36+O30+O27+O9+O33</f>
        <v>1350475</v>
      </c>
      <c r="P114" s="56">
        <f>P113+P36+P30+P27+P9+P33</f>
        <v>1833825</v>
      </c>
      <c r="Q114" s="56">
        <f>Q113+Q36+Q30+Q27+Q9+Q33+Q39</f>
        <v>1434675</v>
      </c>
      <c r="R114" s="56">
        <f>R113+R36+R30+R27+R9+R33</f>
        <v>2394748.73</v>
      </c>
      <c r="S114" s="56">
        <f>S113+S36+S30+S27+S9+S33</f>
        <v>2499711.48</v>
      </c>
      <c r="T114" s="56">
        <f>T113+T36+T30+T27+T9+T33+T37</f>
        <v>4371950</v>
      </c>
      <c r="U114" s="24">
        <f>I114+J114+K114+L114+M114+N114+O114+P114+Q114+R114+S114+T114</f>
        <v>21870802.17</v>
      </c>
      <c r="V114" s="199">
        <f>V113+V9+V27+V29+V33+V36</f>
        <v>21876802.17</v>
      </c>
    </row>
    <row r="115" spans="1:22" ht="12.75">
      <c r="A115" s="42"/>
      <c r="B115" s="57"/>
      <c r="C115" s="132"/>
      <c r="D115" s="132"/>
      <c r="E115" s="132"/>
      <c r="F115" s="132"/>
      <c r="G115" s="57"/>
      <c r="V115" s="21">
        <f aca="true" t="shared" si="36" ref="V115:V143">SUM(I115:T115)</f>
        <v>0</v>
      </c>
    </row>
    <row r="116" spans="1:22" ht="51.75" customHeight="1">
      <c r="A116" s="5" t="s">
        <v>42</v>
      </c>
      <c r="B116" s="59" t="s">
        <v>65</v>
      </c>
      <c r="C116" s="176" t="s">
        <v>20</v>
      </c>
      <c r="D116" s="60">
        <v>9800000000</v>
      </c>
      <c r="E116" s="123"/>
      <c r="F116" s="123"/>
      <c r="G116" s="60"/>
      <c r="H116" s="38">
        <f aca="true" t="shared" si="37" ref="H116:T116">H117+H118</f>
        <v>443500</v>
      </c>
      <c r="I116" s="38">
        <f t="shared" si="37"/>
        <v>36875</v>
      </c>
      <c r="J116" s="38">
        <f t="shared" si="37"/>
        <v>36875</v>
      </c>
      <c r="K116" s="38">
        <f t="shared" si="37"/>
        <v>36875</v>
      </c>
      <c r="L116" s="38">
        <f t="shared" si="37"/>
        <v>36875</v>
      </c>
      <c r="M116" s="38">
        <f t="shared" si="37"/>
        <v>36875</v>
      </c>
      <c r="N116" s="38">
        <f t="shared" si="37"/>
        <v>36875</v>
      </c>
      <c r="O116" s="38">
        <f t="shared" si="37"/>
        <v>36875</v>
      </c>
      <c r="P116" s="38">
        <f t="shared" si="37"/>
        <v>36875</v>
      </c>
      <c r="Q116" s="38">
        <f t="shared" si="37"/>
        <v>36875</v>
      </c>
      <c r="R116" s="38">
        <f t="shared" si="37"/>
        <v>36875</v>
      </c>
      <c r="S116" s="38">
        <f t="shared" si="37"/>
        <v>36875</v>
      </c>
      <c r="T116" s="38">
        <f t="shared" si="37"/>
        <v>36875</v>
      </c>
      <c r="U116" s="24">
        <f aca="true" t="shared" si="38" ref="U116:U122">I116+J116+K116+L116+M116+N116+O116+P116+Q116+R116+S116+T116</f>
        <v>442500</v>
      </c>
      <c r="V116" s="21">
        <f t="shared" si="36"/>
        <v>442500</v>
      </c>
    </row>
    <row r="117" spans="1:22" ht="38.25">
      <c r="A117" s="5" t="s">
        <v>42</v>
      </c>
      <c r="B117" s="61" t="s">
        <v>66</v>
      </c>
      <c r="C117" s="174" t="s">
        <v>20</v>
      </c>
      <c r="D117" s="174">
        <v>9800051180</v>
      </c>
      <c r="E117" s="175">
        <v>121</v>
      </c>
      <c r="F117" s="174">
        <v>211</v>
      </c>
      <c r="G117" s="63" t="s">
        <v>67</v>
      </c>
      <c r="H117" s="13">
        <f>311400+29230</f>
        <v>340630</v>
      </c>
      <c r="I117" s="18">
        <f aca="true" t="shared" si="39" ref="I117:T117">25900+2435.83</f>
        <v>28335.83</v>
      </c>
      <c r="J117" s="18">
        <f t="shared" si="39"/>
        <v>28335.83</v>
      </c>
      <c r="K117" s="18">
        <f t="shared" si="39"/>
        <v>28335.83</v>
      </c>
      <c r="L117" s="18">
        <f t="shared" si="39"/>
        <v>28335.83</v>
      </c>
      <c r="M117" s="18">
        <f t="shared" si="39"/>
        <v>28335.83</v>
      </c>
      <c r="N117" s="18">
        <f t="shared" si="39"/>
        <v>28335.83</v>
      </c>
      <c r="O117" s="18">
        <f t="shared" si="39"/>
        <v>28335.83</v>
      </c>
      <c r="P117" s="18">
        <f t="shared" si="39"/>
        <v>28335.83</v>
      </c>
      <c r="Q117" s="18">
        <f t="shared" si="39"/>
        <v>28335.83</v>
      </c>
      <c r="R117" s="18">
        <f t="shared" si="39"/>
        <v>28335.83</v>
      </c>
      <c r="S117" s="18">
        <f t="shared" si="39"/>
        <v>28335.83</v>
      </c>
      <c r="T117" s="18">
        <f t="shared" si="39"/>
        <v>28335.83</v>
      </c>
      <c r="U117" s="24">
        <f t="shared" si="38"/>
        <v>340029.96000000014</v>
      </c>
      <c r="V117" s="21">
        <f t="shared" si="36"/>
        <v>340029.96000000014</v>
      </c>
    </row>
    <row r="118" spans="1:22" ht="38.25">
      <c r="A118" s="5" t="s">
        <v>42</v>
      </c>
      <c r="B118" s="61" t="s">
        <v>66</v>
      </c>
      <c r="C118" s="174" t="s">
        <v>20</v>
      </c>
      <c r="D118" s="174">
        <v>9800051180</v>
      </c>
      <c r="E118" s="175">
        <v>129</v>
      </c>
      <c r="F118" s="174">
        <v>211</v>
      </c>
      <c r="G118" s="64" t="s">
        <v>68</v>
      </c>
      <c r="H118" s="13">
        <f>94000+8870</f>
        <v>102870</v>
      </c>
      <c r="I118" s="18">
        <f aca="true" t="shared" si="40" ref="I118:T118">7800+739.17</f>
        <v>8539.17</v>
      </c>
      <c r="J118" s="18">
        <f t="shared" si="40"/>
        <v>8539.17</v>
      </c>
      <c r="K118" s="18">
        <f t="shared" si="40"/>
        <v>8539.17</v>
      </c>
      <c r="L118" s="18">
        <f t="shared" si="40"/>
        <v>8539.17</v>
      </c>
      <c r="M118" s="18">
        <f t="shared" si="40"/>
        <v>8539.17</v>
      </c>
      <c r="N118" s="18">
        <f t="shared" si="40"/>
        <v>8539.17</v>
      </c>
      <c r="O118" s="18">
        <f t="shared" si="40"/>
        <v>8539.17</v>
      </c>
      <c r="P118" s="18">
        <f t="shared" si="40"/>
        <v>8539.17</v>
      </c>
      <c r="Q118" s="18">
        <f t="shared" si="40"/>
        <v>8539.17</v>
      </c>
      <c r="R118" s="18">
        <f t="shared" si="40"/>
        <v>8539.17</v>
      </c>
      <c r="S118" s="18">
        <f t="shared" si="40"/>
        <v>8539.17</v>
      </c>
      <c r="T118" s="18">
        <f t="shared" si="40"/>
        <v>8539.17</v>
      </c>
      <c r="U118" s="24">
        <f t="shared" si="38"/>
        <v>102470.04</v>
      </c>
      <c r="V118" s="21">
        <f t="shared" si="36"/>
        <v>102470.04</v>
      </c>
    </row>
    <row r="119" spans="1:22" ht="12.75">
      <c r="A119" s="42"/>
      <c r="B119" s="58"/>
      <c r="C119" s="133"/>
      <c r="D119" s="133"/>
      <c r="E119" s="133"/>
      <c r="F119" s="133"/>
      <c r="G119" s="62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24">
        <f t="shared" si="38"/>
        <v>0</v>
      </c>
      <c r="V119" s="21">
        <f t="shared" si="36"/>
        <v>0</v>
      </c>
    </row>
    <row r="120" spans="1:22" ht="12.75">
      <c r="A120" s="42"/>
      <c r="B120" s="29" t="s">
        <v>53</v>
      </c>
      <c r="C120" s="149" t="s">
        <v>20</v>
      </c>
      <c r="D120" s="133"/>
      <c r="E120" s="133"/>
      <c r="F120" s="133"/>
      <c r="G120" s="62"/>
      <c r="H120" s="20">
        <f aca="true" t="shared" si="41" ref="H120:S120">H116</f>
        <v>443500</v>
      </c>
      <c r="I120" s="20">
        <f t="shared" si="41"/>
        <v>36875</v>
      </c>
      <c r="J120" s="20">
        <f t="shared" si="41"/>
        <v>36875</v>
      </c>
      <c r="K120" s="20">
        <f t="shared" si="41"/>
        <v>36875</v>
      </c>
      <c r="L120" s="20">
        <f t="shared" si="41"/>
        <v>36875</v>
      </c>
      <c r="M120" s="20">
        <f t="shared" si="41"/>
        <v>36875</v>
      </c>
      <c r="N120" s="20">
        <f t="shared" si="41"/>
        <v>36875</v>
      </c>
      <c r="O120" s="20">
        <f t="shared" si="41"/>
        <v>36875</v>
      </c>
      <c r="P120" s="20">
        <f t="shared" si="41"/>
        <v>36875</v>
      </c>
      <c r="Q120" s="20">
        <f t="shared" si="41"/>
        <v>36875</v>
      </c>
      <c r="R120" s="20">
        <f t="shared" si="41"/>
        <v>36875</v>
      </c>
      <c r="S120" s="20">
        <f t="shared" si="41"/>
        <v>36875</v>
      </c>
      <c r="T120" s="20">
        <f>T122</f>
        <v>37875</v>
      </c>
      <c r="U120" s="24">
        <f t="shared" si="38"/>
        <v>443500</v>
      </c>
      <c r="V120" s="199">
        <f t="shared" si="36"/>
        <v>443500</v>
      </c>
    </row>
    <row r="121" spans="1:22" ht="12.75">
      <c r="A121" s="42"/>
      <c r="B121" s="58"/>
      <c r="C121" s="133"/>
      <c r="D121" s="133"/>
      <c r="E121" s="133"/>
      <c r="F121" s="133"/>
      <c r="G121" s="62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24">
        <f t="shared" si="38"/>
        <v>0</v>
      </c>
      <c r="V121" s="21">
        <f t="shared" si="36"/>
        <v>0</v>
      </c>
    </row>
    <row r="122" spans="1:22" ht="12.75">
      <c r="A122" s="53"/>
      <c r="B122" s="54" t="s">
        <v>69</v>
      </c>
      <c r="C122" s="135"/>
      <c r="D122" s="135"/>
      <c r="E122" s="135"/>
      <c r="F122" s="135"/>
      <c r="G122" s="65"/>
      <c r="H122" s="70">
        <f aca="true" t="shared" si="42" ref="H122:S122">H120</f>
        <v>443500</v>
      </c>
      <c r="I122" s="70">
        <f t="shared" si="42"/>
        <v>36875</v>
      </c>
      <c r="J122" s="70">
        <f t="shared" si="42"/>
        <v>36875</v>
      </c>
      <c r="K122" s="70">
        <f t="shared" si="42"/>
        <v>36875</v>
      </c>
      <c r="L122" s="70">
        <f t="shared" si="42"/>
        <v>36875</v>
      </c>
      <c r="M122" s="70">
        <f t="shared" si="42"/>
        <v>36875</v>
      </c>
      <c r="N122" s="70">
        <f t="shared" si="42"/>
        <v>36875</v>
      </c>
      <c r="O122" s="70">
        <f t="shared" si="42"/>
        <v>36875</v>
      </c>
      <c r="P122" s="70">
        <f t="shared" si="42"/>
        <v>36875</v>
      </c>
      <c r="Q122" s="70">
        <f t="shared" si="42"/>
        <v>36875</v>
      </c>
      <c r="R122" s="70">
        <f t="shared" si="42"/>
        <v>36875</v>
      </c>
      <c r="S122" s="70">
        <f t="shared" si="42"/>
        <v>36875</v>
      </c>
      <c r="T122" s="70">
        <v>37875</v>
      </c>
      <c r="U122" s="24">
        <f t="shared" si="38"/>
        <v>443500</v>
      </c>
      <c r="V122" s="21">
        <f t="shared" si="36"/>
        <v>443500</v>
      </c>
    </row>
    <row r="123" spans="1:22" ht="12.75">
      <c r="A123" s="42"/>
      <c r="B123" s="66"/>
      <c r="C123" s="133"/>
      <c r="D123" s="133"/>
      <c r="E123" s="133"/>
      <c r="F123" s="133"/>
      <c r="G123" s="62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24"/>
      <c r="V123" s="21">
        <f t="shared" si="36"/>
        <v>0</v>
      </c>
    </row>
    <row r="124" spans="1:22" ht="79.5" customHeight="1">
      <c r="A124" s="5" t="s">
        <v>42</v>
      </c>
      <c r="B124" s="35" t="s">
        <v>126</v>
      </c>
      <c r="C124" s="148"/>
      <c r="D124" s="161">
        <v>5900000000</v>
      </c>
      <c r="E124" s="117"/>
      <c r="F124" s="117"/>
      <c r="G124" s="37"/>
      <c r="H124" s="39">
        <f aca="true" t="shared" si="43" ref="H124:T124">H126+H131+H134</f>
        <v>329500</v>
      </c>
      <c r="I124" s="39">
        <f t="shared" si="43"/>
        <v>0</v>
      </c>
      <c r="J124" s="39">
        <f t="shared" si="43"/>
        <v>19770</v>
      </c>
      <c r="K124" s="39">
        <f t="shared" si="43"/>
        <v>0</v>
      </c>
      <c r="L124" s="39">
        <f t="shared" si="43"/>
        <v>54250</v>
      </c>
      <c r="M124" s="39">
        <f t="shared" si="43"/>
        <v>0</v>
      </c>
      <c r="N124" s="39">
        <f t="shared" si="43"/>
        <v>0</v>
      </c>
      <c r="O124" s="39">
        <f t="shared" si="43"/>
        <v>54250</v>
      </c>
      <c r="P124" s="39">
        <f t="shared" si="43"/>
        <v>0</v>
      </c>
      <c r="Q124" s="39">
        <f t="shared" si="43"/>
        <v>0</v>
      </c>
      <c r="R124" s="39">
        <f t="shared" si="43"/>
        <v>95250</v>
      </c>
      <c r="S124" s="39">
        <f t="shared" si="43"/>
        <v>32730</v>
      </c>
      <c r="T124" s="39">
        <f t="shared" si="43"/>
        <v>73250</v>
      </c>
      <c r="U124" s="24">
        <f>I124+J124+K124+L124+M124+N124+O124+P124+Q124+R124+S124+T124</f>
        <v>329500</v>
      </c>
      <c r="V124" s="21">
        <f t="shared" si="36"/>
        <v>329500</v>
      </c>
    </row>
    <row r="125" spans="1:22" ht="12.75">
      <c r="A125" s="42"/>
      <c r="B125" s="66"/>
      <c r="C125" s="129"/>
      <c r="D125" s="133"/>
      <c r="E125" s="133"/>
      <c r="F125" s="133"/>
      <c r="G125" s="62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24"/>
      <c r="V125" s="21">
        <f t="shared" si="36"/>
        <v>0</v>
      </c>
    </row>
    <row r="126" spans="1:22" ht="76.5">
      <c r="A126" s="5" t="s">
        <v>42</v>
      </c>
      <c r="B126" s="35" t="s">
        <v>127</v>
      </c>
      <c r="C126" s="148" t="s">
        <v>21</v>
      </c>
      <c r="D126" s="161">
        <v>5910000000</v>
      </c>
      <c r="E126" s="161"/>
      <c r="F126" s="161"/>
      <c r="G126" s="37"/>
      <c r="H126" s="39">
        <f aca="true" t="shared" si="44" ref="H126:T126">H127</f>
        <v>20000</v>
      </c>
      <c r="I126" s="39">
        <f t="shared" si="44"/>
        <v>0</v>
      </c>
      <c r="J126" s="39">
        <f t="shared" si="44"/>
        <v>19770</v>
      </c>
      <c r="K126" s="39">
        <f t="shared" si="44"/>
        <v>0</v>
      </c>
      <c r="L126" s="39">
        <f t="shared" si="44"/>
        <v>0</v>
      </c>
      <c r="M126" s="39">
        <f t="shared" si="44"/>
        <v>0</v>
      </c>
      <c r="N126" s="39">
        <f t="shared" si="44"/>
        <v>0</v>
      </c>
      <c r="O126" s="39">
        <f t="shared" si="44"/>
        <v>0</v>
      </c>
      <c r="P126" s="39">
        <f t="shared" si="44"/>
        <v>0</v>
      </c>
      <c r="Q126" s="39">
        <f t="shared" si="44"/>
        <v>0</v>
      </c>
      <c r="R126" s="39">
        <f t="shared" si="44"/>
        <v>0</v>
      </c>
      <c r="S126" s="39">
        <f t="shared" si="44"/>
        <v>230</v>
      </c>
      <c r="T126" s="39">
        <f t="shared" si="44"/>
        <v>0</v>
      </c>
      <c r="U126" s="24">
        <f>I126+J126+K126+L126+M126+N126+O126+P126+Q126+R126+S126+T126</f>
        <v>20000</v>
      </c>
      <c r="V126" s="21">
        <f t="shared" si="36"/>
        <v>20000</v>
      </c>
    </row>
    <row r="127" spans="1:22" ht="12.75">
      <c r="A127" s="5" t="s">
        <v>42</v>
      </c>
      <c r="B127" s="47" t="s">
        <v>15</v>
      </c>
      <c r="C127" s="174" t="s">
        <v>21</v>
      </c>
      <c r="D127" s="174">
        <v>5910110080</v>
      </c>
      <c r="E127" s="175">
        <v>244</v>
      </c>
      <c r="F127" s="174">
        <v>226</v>
      </c>
      <c r="G127" s="62"/>
      <c r="H127" s="18">
        <v>20000</v>
      </c>
      <c r="I127" s="18">
        <v>0</v>
      </c>
      <c r="J127" s="18">
        <f>0+19770</f>
        <v>19770</v>
      </c>
      <c r="K127" s="18">
        <v>0</v>
      </c>
      <c r="L127" s="18">
        <v>0</v>
      </c>
      <c r="M127" s="18">
        <v>0</v>
      </c>
      <c r="N127" s="18">
        <v>0</v>
      </c>
      <c r="O127" s="18">
        <v>0</v>
      </c>
      <c r="P127" s="18">
        <v>0</v>
      </c>
      <c r="Q127" s="18">
        <v>0</v>
      </c>
      <c r="R127" s="18">
        <v>0</v>
      </c>
      <c r="S127" s="18">
        <f>20000-19770</f>
        <v>230</v>
      </c>
      <c r="T127" s="18">
        <v>0</v>
      </c>
      <c r="U127" s="24">
        <f>I127+J127+K127+L127+M127+N127+O127+P127+Q127+R127+S127+T127</f>
        <v>20000</v>
      </c>
      <c r="V127" s="21">
        <f t="shared" si="36"/>
        <v>20000</v>
      </c>
    </row>
    <row r="128" spans="1:22" ht="12.75">
      <c r="A128" s="42"/>
      <c r="B128" s="66"/>
      <c r="C128" s="133"/>
      <c r="D128" s="133"/>
      <c r="E128" s="133"/>
      <c r="F128" s="133"/>
      <c r="G128" s="62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24"/>
      <c r="V128" s="21">
        <f t="shared" si="36"/>
        <v>0</v>
      </c>
    </row>
    <row r="129" spans="1:22" ht="12.75">
      <c r="A129" s="42"/>
      <c r="B129" s="29" t="s">
        <v>53</v>
      </c>
      <c r="C129" s="149" t="s">
        <v>21</v>
      </c>
      <c r="D129" s="133"/>
      <c r="E129" s="133"/>
      <c r="F129" s="133"/>
      <c r="G129" s="62"/>
      <c r="H129" s="19">
        <f aca="true" t="shared" si="45" ref="H129:T129">H126</f>
        <v>20000</v>
      </c>
      <c r="I129" s="19">
        <f t="shared" si="45"/>
        <v>0</v>
      </c>
      <c r="J129" s="19">
        <f t="shared" si="45"/>
        <v>19770</v>
      </c>
      <c r="K129" s="19">
        <f t="shared" si="45"/>
        <v>0</v>
      </c>
      <c r="L129" s="19">
        <f t="shared" si="45"/>
        <v>0</v>
      </c>
      <c r="M129" s="19">
        <f t="shared" si="45"/>
        <v>0</v>
      </c>
      <c r="N129" s="19">
        <f t="shared" si="45"/>
        <v>0</v>
      </c>
      <c r="O129" s="19">
        <f t="shared" si="45"/>
        <v>0</v>
      </c>
      <c r="P129" s="19">
        <f t="shared" si="45"/>
        <v>0</v>
      </c>
      <c r="Q129" s="19">
        <f t="shared" si="45"/>
        <v>0</v>
      </c>
      <c r="R129" s="19">
        <f t="shared" si="45"/>
        <v>0</v>
      </c>
      <c r="S129" s="19">
        <f t="shared" si="45"/>
        <v>230</v>
      </c>
      <c r="T129" s="19">
        <f t="shared" si="45"/>
        <v>0</v>
      </c>
      <c r="U129" s="24">
        <f aca="true" t="shared" si="46" ref="U129:U142">I129+J129+K129+L129+M129+N129+O129+P129+Q129+R129+S129+T129</f>
        <v>20000</v>
      </c>
      <c r="V129" s="21">
        <f t="shared" si="36"/>
        <v>20000</v>
      </c>
    </row>
    <row r="130" spans="1:22" ht="12.75">
      <c r="A130" s="42"/>
      <c r="B130" s="66"/>
      <c r="C130" s="133"/>
      <c r="D130" s="133"/>
      <c r="E130" s="133"/>
      <c r="F130" s="133"/>
      <c r="G130" s="62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24">
        <f t="shared" si="46"/>
        <v>0</v>
      </c>
      <c r="V130" s="21">
        <f t="shared" si="36"/>
        <v>0</v>
      </c>
    </row>
    <row r="131" spans="1:22" ht="81" customHeight="1">
      <c r="A131" s="5" t="s">
        <v>42</v>
      </c>
      <c r="B131" s="35" t="s">
        <v>128</v>
      </c>
      <c r="C131" s="148" t="s">
        <v>22</v>
      </c>
      <c r="D131" s="161">
        <v>5920000000</v>
      </c>
      <c r="E131" s="161"/>
      <c r="F131" s="161"/>
      <c r="G131" s="161"/>
      <c r="H131" s="39">
        <f aca="true" t="shared" si="47" ref="H131:T131">H132</f>
        <v>112500</v>
      </c>
      <c r="I131" s="39">
        <f t="shared" si="47"/>
        <v>0</v>
      </c>
      <c r="J131" s="39">
        <f t="shared" si="47"/>
        <v>0</v>
      </c>
      <c r="K131" s="39">
        <f t="shared" si="47"/>
        <v>0</v>
      </c>
      <c r="L131" s="39">
        <f t="shared" si="47"/>
        <v>5000</v>
      </c>
      <c r="M131" s="39">
        <f t="shared" si="47"/>
        <v>0</v>
      </c>
      <c r="N131" s="39">
        <f t="shared" si="47"/>
        <v>0</v>
      </c>
      <c r="O131" s="39">
        <f t="shared" si="47"/>
        <v>5000</v>
      </c>
      <c r="P131" s="39">
        <f t="shared" si="47"/>
        <v>0</v>
      </c>
      <c r="Q131" s="39">
        <f t="shared" si="47"/>
        <v>0</v>
      </c>
      <c r="R131" s="39">
        <f t="shared" si="47"/>
        <v>46000</v>
      </c>
      <c r="S131" s="39">
        <f t="shared" si="47"/>
        <v>32500</v>
      </c>
      <c r="T131" s="39">
        <f t="shared" si="47"/>
        <v>24000</v>
      </c>
      <c r="U131" s="24">
        <f t="shared" si="46"/>
        <v>112500</v>
      </c>
      <c r="V131" s="21">
        <f t="shared" si="36"/>
        <v>112500</v>
      </c>
    </row>
    <row r="132" spans="1:22" ht="12.75">
      <c r="A132" s="5" t="s">
        <v>42</v>
      </c>
      <c r="B132" s="47" t="s">
        <v>15</v>
      </c>
      <c r="C132" s="165" t="s">
        <v>22</v>
      </c>
      <c r="D132" s="174">
        <v>5920110090</v>
      </c>
      <c r="E132" s="175">
        <v>244</v>
      </c>
      <c r="F132" s="174">
        <v>226</v>
      </c>
      <c r="G132" s="174"/>
      <c r="H132" s="18">
        <v>112500</v>
      </c>
      <c r="I132" s="18">
        <v>0</v>
      </c>
      <c r="J132" s="18">
        <v>0</v>
      </c>
      <c r="K132" s="18">
        <v>0</v>
      </c>
      <c r="L132" s="18">
        <v>5000</v>
      </c>
      <c r="M132" s="18">
        <v>0</v>
      </c>
      <c r="N132" s="18">
        <v>0</v>
      </c>
      <c r="O132" s="18">
        <v>5000</v>
      </c>
      <c r="P132" s="18">
        <v>0</v>
      </c>
      <c r="Q132" s="18">
        <v>0</v>
      </c>
      <c r="R132" s="18">
        <v>46000</v>
      </c>
      <c r="S132" s="18">
        <f>19500+13000</f>
        <v>32500</v>
      </c>
      <c r="T132" s="18">
        <v>24000</v>
      </c>
      <c r="U132" s="24">
        <f t="shared" si="46"/>
        <v>112500</v>
      </c>
      <c r="V132" s="21">
        <f t="shared" si="36"/>
        <v>112500</v>
      </c>
    </row>
    <row r="133" spans="1:22" ht="12.75">
      <c r="A133" s="42"/>
      <c r="B133" s="66"/>
      <c r="C133" s="129"/>
      <c r="D133" s="133"/>
      <c r="E133" s="133"/>
      <c r="F133" s="133"/>
      <c r="G133" s="62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24">
        <f t="shared" si="46"/>
        <v>0</v>
      </c>
      <c r="V133" s="21">
        <f t="shared" si="36"/>
        <v>0</v>
      </c>
    </row>
    <row r="134" spans="1:22" ht="92.25" customHeight="1">
      <c r="A134" s="5" t="s">
        <v>42</v>
      </c>
      <c r="B134" s="35" t="s">
        <v>129</v>
      </c>
      <c r="C134" s="148" t="s">
        <v>22</v>
      </c>
      <c r="D134" s="161">
        <v>5930000000</v>
      </c>
      <c r="E134" s="161"/>
      <c r="F134" s="161"/>
      <c r="G134" s="38"/>
      <c r="H134" s="39">
        <f aca="true" t="shared" si="48" ref="H134:T134">H135</f>
        <v>197000</v>
      </c>
      <c r="I134" s="39">
        <f t="shared" si="48"/>
        <v>0</v>
      </c>
      <c r="J134" s="39">
        <f t="shared" si="48"/>
        <v>0</v>
      </c>
      <c r="K134" s="39">
        <f t="shared" si="48"/>
        <v>0</v>
      </c>
      <c r="L134" s="39">
        <f t="shared" si="48"/>
        <v>49250</v>
      </c>
      <c r="M134" s="39">
        <f t="shared" si="48"/>
        <v>0</v>
      </c>
      <c r="N134" s="39">
        <f t="shared" si="48"/>
        <v>0</v>
      </c>
      <c r="O134" s="39">
        <f t="shared" si="48"/>
        <v>49250</v>
      </c>
      <c r="P134" s="39">
        <f t="shared" si="48"/>
        <v>0</v>
      </c>
      <c r="Q134" s="39">
        <f t="shared" si="48"/>
        <v>0</v>
      </c>
      <c r="R134" s="39">
        <f t="shared" si="48"/>
        <v>49250</v>
      </c>
      <c r="S134" s="39">
        <f t="shared" si="48"/>
        <v>0</v>
      </c>
      <c r="T134" s="39">
        <f t="shared" si="48"/>
        <v>49250</v>
      </c>
      <c r="U134" s="24">
        <f t="shared" si="46"/>
        <v>197000</v>
      </c>
      <c r="V134" s="21">
        <f t="shared" si="36"/>
        <v>197000</v>
      </c>
    </row>
    <row r="135" spans="1:22" ht="12.75">
      <c r="A135" s="5" t="s">
        <v>42</v>
      </c>
      <c r="B135" s="47" t="s">
        <v>16</v>
      </c>
      <c r="C135" s="174" t="s">
        <v>22</v>
      </c>
      <c r="D135" s="174">
        <v>5930110100</v>
      </c>
      <c r="E135" s="175">
        <v>244</v>
      </c>
      <c r="F135" s="174">
        <v>290</v>
      </c>
      <c r="G135" s="202"/>
      <c r="H135" s="18">
        <v>197000</v>
      </c>
      <c r="I135" s="18">
        <v>0</v>
      </c>
      <c r="J135" s="18">
        <v>0</v>
      </c>
      <c r="K135" s="18">
        <v>0</v>
      </c>
      <c r="L135" s="18">
        <v>49250</v>
      </c>
      <c r="M135" s="18">
        <v>0</v>
      </c>
      <c r="N135" s="18">
        <v>0</v>
      </c>
      <c r="O135" s="18">
        <v>49250</v>
      </c>
      <c r="P135" s="18">
        <v>0</v>
      </c>
      <c r="Q135" s="18">
        <v>0</v>
      </c>
      <c r="R135" s="18">
        <v>49250</v>
      </c>
      <c r="S135" s="18">
        <v>0</v>
      </c>
      <c r="T135" s="18">
        <v>49250</v>
      </c>
      <c r="U135" s="24">
        <f t="shared" si="46"/>
        <v>197000</v>
      </c>
      <c r="V135" s="21">
        <f t="shared" si="36"/>
        <v>197000</v>
      </c>
    </row>
    <row r="136" spans="1:22" ht="12.75">
      <c r="A136" s="5"/>
      <c r="B136" s="68"/>
      <c r="C136" s="133"/>
      <c r="D136" s="133"/>
      <c r="E136" s="134"/>
      <c r="F136" s="133"/>
      <c r="G136" s="67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24">
        <f t="shared" si="46"/>
        <v>0</v>
      </c>
      <c r="V136" s="21">
        <f t="shared" si="36"/>
        <v>0</v>
      </c>
    </row>
    <row r="137" spans="1:22" ht="63.75">
      <c r="A137" s="5" t="s">
        <v>42</v>
      </c>
      <c r="B137" s="35" t="s">
        <v>130</v>
      </c>
      <c r="C137" s="148" t="s">
        <v>22</v>
      </c>
      <c r="D137" s="161">
        <v>6010000000</v>
      </c>
      <c r="E137" s="161"/>
      <c r="F137" s="161"/>
      <c r="G137" s="37"/>
      <c r="H137" s="39">
        <f aca="true" t="shared" si="49" ref="H137:T137">H138</f>
        <v>15000</v>
      </c>
      <c r="I137" s="39">
        <f t="shared" si="49"/>
        <v>0</v>
      </c>
      <c r="J137" s="39">
        <f t="shared" si="49"/>
        <v>0</v>
      </c>
      <c r="K137" s="39">
        <f t="shared" si="49"/>
        <v>0</v>
      </c>
      <c r="L137" s="39">
        <f t="shared" si="49"/>
        <v>0</v>
      </c>
      <c r="M137" s="39">
        <f t="shared" si="49"/>
        <v>0</v>
      </c>
      <c r="N137" s="39">
        <f t="shared" si="49"/>
        <v>0</v>
      </c>
      <c r="O137" s="39">
        <f t="shared" si="49"/>
        <v>0</v>
      </c>
      <c r="P137" s="39">
        <f t="shared" si="49"/>
        <v>0</v>
      </c>
      <c r="Q137" s="39">
        <f t="shared" si="49"/>
        <v>0</v>
      </c>
      <c r="R137" s="39">
        <f t="shared" si="49"/>
        <v>0</v>
      </c>
      <c r="S137" s="39">
        <f t="shared" si="49"/>
        <v>0</v>
      </c>
      <c r="T137" s="39">
        <f t="shared" si="49"/>
        <v>15000</v>
      </c>
      <c r="U137" s="24">
        <f t="shared" si="46"/>
        <v>15000</v>
      </c>
      <c r="V137" s="21">
        <f t="shared" si="36"/>
        <v>15000</v>
      </c>
    </row>
    <row r="138" spans="1:22" ht="12.75">
      <c r="A138" s="5" t="s">
        <v>42</v>
      </c>
      <c r="B138" s="47" t="s">
        <v>15</v>
      </c>
      <c r="C138" s="165" t="s">
        <v>22</v>
      </c>
      <c r="D138" s="174">
        <v>6010110120</v>
      </c>
      <c r="E138" s="175">
        <v>244</v>
      </c>
      <c r="F138" s="174">
        <v>226</v>
      </c>
      <c r="G138" s="67"/>
      <c r="H138" s="18">
        <v>15000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15000</v>
      </c>
      <c r="U138" s="24">
        <f t="shared" si="46"/>
        <v>15000</v>
      </c>
      <c r="V138" s="21">
        <f t="shared" si="36"/>
        <v>15000</v>
      </c>
    </row>
    <row r="139" spans="1:22" ht="12.75">
      <c r="A139" s="5"/>
      <c r="B139" s="68"/>
      <c r="C139" s="165"/>
      <c r="D139" s="174"/>
      <c r="E139" s="175"/>
      <c r="F139" s="174"/>
      <c r="G139" s="67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24">
        <f t="shared" si="46"/>
        <v>0</v>
      </c>
      <c r="V139" s="21">
        <f t="shared" si="36"/>
        <v>0</v>
      </c>
    </row>
    <row r="140" spans="1:22" ht="12.75">
      <c r="A140" s="5"/>
      <c r="B140" s="29" t="s">
        <v>53</v>
      </c>
      <c r="C140" s="180" t="s">
        <v>22</v>
      </c>
      <c r="D140" s="174"/>
      <c r="E140" s="175"/>
      <c r="F140" s="174"/>
      <c r="G140" s="67"/>
      <c r="H140" s="19">
        <f aca="true" t="shared" si="50" ref="H140:T140">H137+H134+H131</f>
        <v>324500</v>
      </c>
      <c r="I140" s="19">
        <f t="shared" si="50"/>
        <v>0</v>
      </c>
      <c r="J140" s="19">
        <f t="shared" si="50"/>
        <v>0</v>
      </c>
      <c r="K140" s="19">
        <f t="shared" si="50"/>
        <v>0</v>
      </c>
      <c r="L140" s="19">
        <f t="shared" si="50"/>
        <v>54250</v>
      </c>
      <c r="M140" s="19">
        <f t="shared" si="50"/>
        <v>0</v>
      </c>
      <c r="N140" s="19">
        <f t="shared" si="50"/>
        <v>0</v>
      </c>
      <c r="O140" s="19">
        <f t="shared" si="50"/>
        <v>54250</v>
      </c>
      <c r="P140" s="19">
        <f t="shared" si="50"/>
        <v>0</v>
      </c>
      <c r="Q140" s="19">
        <f t="shared" si="50"/>
        <v>0</v>
      </c>
      <c r="R140" s="19">
        <f t="shared" si="50"/>
        <v>95250</v>
      </c>
      <c r="S140" s="19">
        <f t="shared" si="50"/>
        <v>32500</v>
      </c>
      <c r="T140" s="19">
        <f t="shared" si="50"/>
        <v>88250</v>
      </c>
      <c r="U140" s="24">
        <f t="shared" si="46"/>
        <v>324500</v>
      </c>
      <c r="V140" s="21">
        <f t="shared" si="36"/>
        <v>324500</v>
      </c>
    </row>
    <row r="141" spans="1:22" ht="12.75">
      <c r="A141" s="5"/>
      <c r="B141" s="68"/>
      <c r="C141" s="129"/>
      <c r="D141" s="133"/>
      <c r="E141" s="134"/>
      <c r="F141" s="133"/>
      <c r="G141" s="67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24">
        <f t="shared" si="46"/>
        <v>0</v>
      </c>
      <c r="V141" s="21">
        <f t="shared" si="36"/>
        <v>0</v>
      </c>
    </row>
    <row r="142" spans="1:22" ht="12.75">
      <c r="A142" s="53"/>
      <c r="B142" s="54" t="s">
        <v>70</v>
      </c>
      <c r="C142" s="137"/>
      <c r="D142" s="135"/>
      <c r="E142" s="138"/>
      <c r="F142" s="135"/>
      <c r="G142" s="69"/>
      <c r="H142" s="70">
        <f aca="true" t="shared" si="51" ref="H142:T142">H140+H129</f>
        <v>344500</v>
      </c>
      <c r="I142" s="70">
        <f t="shared" si="51"/>
        <v>0</v>
      </c>
      <c r="J142" s="70">
        <f t="shared" si="51"/>
        <v>19770</v>
      </c>
      <c r="K142" s="70">
        <f t="shared" si="51"/>
        <v>0</v>
      </c>
      <c r="L142" s="70">
        <f t="shared" si="51"/>
        <v>54250</v>
      </c>
      <c r="M142" s="70">
        <f t="shared" si="51"/>
        <v>0</v>
      </c>
      <c r="N142" s="70">
        <f t="shared" si="51"/>
        <v>0</v>
      </c>
      <c r="O142" s="70">
        <f t="shared" si="51"/>
        <v>54250</v>
      </c>
      <c r="P142" s="70">
        <f t="shared" si="51"/>
        <v>0</v>
      </c>
      <c r="Q142" s="70">
        <f t="shared" si="51"/>
        <v>0</v>
      </c>
      <c r="R142" s="70">
        <f t="shared" si="51"/>
        <v>95250</v>
      </c>
      <c r="S142" s="70">
        <f t="shared" si="51"/>
        <v>32730</v>
      </c>
      <c r="T142" s="70">
        <f t="shared" si="51"/>
        <v>88250</v>
      </c>
      <c r="U142" s="24">
        <f t="shared" si="46"/>
        <v>344500</v>
      </c>
      <c r="V142" s="199">
        <f t="shared" si="36"/>
        <v>344500</v>
      </c>
    </row>
    <row r="143" spans="1:22" ht="12.75">
      <c r="A143" s="5"/>
      <c r="B143" s="68"/>
      <c r="C143" s="129"/>
      <c r="D143" s="133"/>
      <c r="E143" s="134"/>
      <c r="F143" s="133"/>
      <c r="G143" s="67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24"/>
      <c r="V143" s="21">
        <f t="shared" si="36"/>
        <v>0</v>
      </c>
    </row>
    <row r="144" spans="1:22" ht="102">
      <c r="A144" s="5" t="s">
        <v>42</v>
      </c>
      <c r="B144" s="35" t="s">
        <v>131</v>
      </c>
      <c r="C144" s="148" t="s">
        <v>47</v>
      </c>
      <c r="D144" s="161">
        <v>6100000000</v>
      </c>
      <c r="E144" s="117"/>
      <c r="F144" s="117"/>
      <c r="G144" s="37"/>
      <c r="H144" s="39">
        <f>H146+H149</f>
        <v>8627120.719999999</v>
      </c>
      <c r="I144" s="39">
        <f aca="true" t="shared" si="52" ref="I144:T144">I146+I149+I152</f>
        <v>80000</v>
      </c>
      <c r="J144" s="39">
        <f t="shared" si="52"/>
        <v>417500</v>
      </c>
      <c r="K144" s="39">
        <f t="shared" si="52"/>
        <v>35000</v>
      </c>
      <c r="L144" s="39">
        <f t="shared" si="52"/>
        <v>280050</v>
      </c>
      <c r="M144" s="39">
        <f t="shared" si="52"/>
        <v>111375</v>
      </c>
      <c r="N144" s="39">
        <f t="shared" si="52"/>
        <v>0</v>
      </c>
      <c r="O144" s="39">
        <f t="shared" si="52"/>
        <v>362020.72</v>
      </c>
      <c r="P144" s="39">
        <f t="shared" si="52"/>
        <v>864960</v>
      </c>
      <c r="Q144" s="39">
        <f t="shared" si="52"/>
        <v>909900</v>
      </c>
      <c r="R144" s="39">
        <f t="shared" si="52"/>
        <v>1376775</v>
      </c>
      <c r="S144" s="39">
        <f t="shared" si="52"/>
        <v>1953415</v>
      </c>
      <c r="T144" s="39">
        <f t="shared" si="52"/>
        <v>2266125</v>
      </c>
      <c r="U144" s="24">
        <f>I144+J144+K144+L144+M144+N144+O144+P144+Q144+R144+S144+T144</f>
        <v>8657120.719999999</v>
      </c>
      <c r="V144" s="21">
        <f>V146+V149</f>
        <v>8627120.719999999</v>
      </c>
    </row>
    <row r="145" spans="1:22" ht="12.75">
      <c r="A145" s="5"/>
      <c r="B145" s="71"/>
      <c r="C145" s="123"/>
      <c r="D145" s="123"/>
      <c r="E145" s="123"/>
      <c r="F145" s="123"/>
      <c r="G145" s="44"/>
      <c r="H145" s="7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24"/>
      <c r="V145" s="21">
        <f aca="true" t="shared" si="53" ref="V145:V176">SUM(I145:T145)</f>
        <v>0</v>
      </c>
    </row>
    <row r="146" spans="1:22" ht="89.25">
      <c r="A146" s="5" t="s">
        <v>42</v>
      </c>
      <c r="B146" s="35" t="s">
        <v>132</v>
      </c>
      <c r="C146" s="148" t="s">
        <v>47</v>
      </c>
      <c r="D146" s="161">
        <v>6110000000</v>
      </c>
      <c r="E146" s="161"/>
      <c r="F146" s="161"/>
      <c r="G146" s="37"/>
      <c r="H146" s="39">
        <f aca="true" t="shared" si="54" ref="H146:T146">H147+H148</f>
        <v>1100000</v>
      </c>
      <c r="I146" s="39">
        <f t="shared" si="54"/>
        <v>0</v>
      </c>
      <c r="J146" s="39">
        <f t="shared" si="54"/>
        <v>0</v>
      </c>
      <c r="K146" s="39">
        <f t="shared" si="54"/>
        <v>0</v>
      </c>
      <c r="L146" s="39">
        <f t="shared" si="54"/>
        <v>0</v>
      </c>
      <c r="M146" s="39">
        <f t="shared" si="54"/>
        <v>0</v>
      </c>
      <c r="N146" s="39">
        <f t="shared" si="54"/>
        <v>0</v>
      </c>
      <c r="O146" s="39">
        <f t="shared" si="54"/>
        <v>0</v>
      </c>
      <c r="P146" s="39">
        <f t="shared" si="54"/>
        <v>0</v>
      </c>
      <c r="Q146" s="39">
        <f t="shared" si="54"/>
        <v>0</v>
      </c>
      <c r="R146" s="39">
        <f t="shared" si="54"/>
        <v>350000</v>
      </c>
      <c r="S146" s="39">
        <f t="shared" si="54"/>
        <v>150000</v>
      </c>
      <c r="T146" s="39">
        <f t="shared" si="54"/>
        <v>600000</v>
      </c>
      <c r="U146" s="24">
        <f aca="true" t="shared" si="55" ref="U146:U153">I146+J146+K146+L146+M146+N146+O146+P146+Q146+R146+S146+T146</f>
        <v>1100000</v>
      </c>
      <c r="V146" s="21">
        <f t="shared" si="53"/>
        <v>1100000</v>
      </c>
    </row>
    <row r="147" spans="1:22" ht="25.5">
      <c r="A147" s="5" t="s">
        <v>42</v>
      </c>
      <c r="B147" s="72" t="s">
        <v>71</v>
      </c>
      <c r="C147" s="164" t="s">
        <v>47</v>
      </c>
      <c r="D147" s="203" t="s">
        <v>72</v>
      </c>
      <c r="E147" s="162">
        <v>244</v>
      </c>
      <c r="F147" s="162">
        <v>225</v>
      </c>
      <c r="G147" s="44"/>
      <c r="H147" s="52">
        <v>1100000</v>
      </c>
      <c r="I147" s="18">
        <v>0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350000</v>
      </c>
      <c r="S147" s="18">
        <v>150000</v>
      </c>
      <c r="T147" s="18">
        <v>600000</v>
      </c>
      <c r="U147" s="24">
        <f t="shared" si="55"/>
        <v>1100000</v>
      </c>
      <c r="V147" s="21">
        <f t="shared" si="53"/>
        <v>1100000</v>
      </c>
    </row>
    <row r="148" spans="1:22" ht="12.75">
      <c r="A148" s="5"/>
      <c r="B148" s="71"/>
      <c r="C148" s="164"/>
      <c r="D148" s="203"/>
      <c r="E148" s="162"/>
      <c r="F148" s="162"/>
      <c r="G148" s="44"/>
      <c r="H148" s="78">
        <v>0</v>
      </c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>
        <v>0</v>
      </c>
      <c r="U148" s="24">
        <f t="shared" si="55"/>
        <v>0</v>
      </c>
      <c r="V148" s="21">
        <f t="shared" si="53"/>
        <v>0</v>
      </c>
    </row>
    <row r="149" spans="1:22" ht="76.5">
      <c r="A149" s="5" t="s">
        <v>42</v>
      </c>
      <c r="B149" s="35" t="s">
        <v>133</v>
      </c>
      <c r="C149" s="148" t="s">
        <v>47</v>
      </c>
      <c r="D149" s="161">
        <v>6120000000</v>
      </c>
      <c r="E149" s="161"/>
      <c r="F149" s="161"/>
      <c r="G149" s="161"/>
      <c r="H149" s="39">
        <f aca="true" t="shared" si="56" ref="H149:T149">H150</f>
        <v>7527120.72</v>
      </c>
      <c r="I149" s="39">
        <f t="shared" si="56"/>
        <v>80000</v>
      </c>
      <c r="J149" s="39">
        <f t="shared" si="56"/>
        <v>417500</v>
      </c>
      <c r="K149" s="39">
        <f t="shared" si="56"/>
        <v>35000</v>
      </c>
      <c r="L149" s="39">
        <f t="shared" si="56"/>
        <v>280050</v>
      </c>
      <c r="M149" s="39">
        <f t="shared" si="56"/>
        <v>111375</v>
      </c>
      <c r="N149" s="39">
        <f t="shared" si="56"/>
        <v>0</v>
      </c>
      <c r="O149" s="39">
        <f t="shared" si="56"/>
        <v>362020.72</v>
      </c>
      <c r="P149" s="39">
        <f t="shared" si="56"/>
        <v>864960</v>
      </c>
      <c r="Q149" s="39">
        <f t="shared" si="56"/>
        <v>909900</v>
      </c>
      <c r="R149" s="39">
        <f t="shared" si="56"/>
        <v>1026775</v>
      </c>
      <c r="S149" s="39">
        <f t="shared" si="56"/>
        <v>1803415</v>
      </c>
      <c r="T149" s="39">
        <f t="shared" si="56"/>
        <v>1636125</v>
      </c>
      <c r="U149" s="24">
        <f t="shared" si="55"/>
        <v>7527120.72</v>
      </c>
      <c r="V149" s="21">
        <f t="shared" si="53"/>
        <v>7527120.72</v>
      </c>
    </row>
    <row r="150" spans="1:22" ht="25.5">
      <c r="A150" s="5" t="s">
        <v>42</v>
      </c>
      <c r="B150" s="72" t="s">
        <v>71</v>
      </c>
      <c r="C150" s="164" t="s">
        <v>47</v>
      </c>
      <c r="D150" s="162">
        <v>6120110140</v>
      </c>
      <c r="E150" s="162">
        <v>244</v>
      </c>
      <c r="F150" s="162">
        <v>225</v>
      </c>
      <c r="G150" s="60"/>
      <c r="H150" s="52">
        <f>6655200+162020.72+709900</f>
        <v>7527120.72</v>
      </c>
      <c r="I150" s="18">
        <v>80000</v>
      </c>
      <c r="J150" s="18">
        <f>20000+397500</f>
        <v>417500</v>
      </c>
      <c r="K150" s="18">
        <v>35000</v>
      </c>
      <c r="L150" s="18">
        <v>280050</v>
      </c>
      <c r="M150" s="18">
        <v>111375</v>
      </c>
      <c r="N150" s="18">
        <v>0</v>
      </c>
      <c r="O150" s="18">
        <f>200000+162020.72</f>
        <v>362020.72</v>
      </c>
      <c r="P150" s="18">
        <v>864960</v>
      </c>
      <c r="Q150" s="18">
        <f>200000+709900</f>
        <v>909900</v>
      </c>
      <c r="R150" s="18">
        <v>1026775</v>
      </c>
      <c r="S150" s="18">
        <v>1803415</v>
      </c>
      <c r="T150" s="18">
        <f>3098625-1065000-397500</f>
        <v>1636125</v>
      </c>
      <c r="U150" s="24">
        <f t="shared" si="55"/>
        <v>7527120.72</v>
      </c>
      <c r="V150" s="21">
        <f t="shared" si="53"/>
        <v>7527120.72</v>
      </c>
    </row>
    <row r="151" spans="1:22" ht="12.75">
      <c r="A151" s="5"/>
      <c r="B151" s="71"/>
      <c r="C151" s="123"/>
      <c r="D151" s="123"/>
      <c r="E151" s="123"/>
      <c r="F151" s="123"/>
      <c r="G151" s="44"/>
      <c r="H151" s="77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24">
        <f t="shared" si="55"/>
        <v>0</v>
      </c>
      <c r="V151" s="21">
        <f t="shared" si="53"/>
        <v>0</v>
      </c>
    </row>
    <row r="152" spans="1:22" ht="76.5">
      <c r="A152" s="42" t="s">
        <v>42</v>
      </c>
      <c r="B152" s="35" t="s">
        <v>134</v>
      </c>
      <c r="C152" s="148" t="s">
        <v>47</v>
      </c>
      <c r="D152" s="161">
        <v>6600110420</v>
      </c>
      <c r="E152" s="161"/>
      <c r="F152" s="161"/>
      <c r="G152" s="161"/>
      <c r="H152" s="39">
        <f aca="true" t="shared" si="57" ref="H152:T152">H153</f>
        <v>30000</v>
      </c>
      <c r="I152" s="39">
        <f t="shared" si="57"/>
        <v>0</v>
      </c>
      <c r="J152" s="39">
        <f t="shared" si="57"/>
        <v>0</v>
      </c>
      <c r="K152" s="39">
        <f t="shared" si="57"/>
        <v>0</v>
      </c>
      <c r="L152" s="39">
        <f t="shared" si="57"/>
        <v>0</v>
      </c>
      <c r="M152" s="39">
        <f t="shared" si="57"/>
        <v>0</v>
      </c>
      <c r="N152" s="39">
        <f t="shared" si="57"/>
        <v>0</v>
      </c>
      <c r="O152" s="39">
        <f t="shared" si="57"/>
        <v>0</v>
      </c>
      <c r="P152" s="39">
        <f t="shared" si="57"/>
        <v>0</v>
      </c>
      <c r="Q152" s="39">
        <f t="shared" si="57"/>
        <v>0</v>
      </c>
      <c r="R152" s="39">
        <f t="shared" si="57"/>
        <v>0</v>
      </c>
      <c r="S152" s="39">
        <f t="shared" si="57"/>
        <v>0</v>
      </c>
      <c r="T152" s="39">
        <f t="shared" si="57"/>
        <v>30000</v>
      </c>
      <c r="U152" s="24">
        <f t="shared" si="55"/>
        <v>30000</v>
      </c>
      <c r="V152" s="21">
        <f t="shared" si="53"/>
        <v>30000</v>
      </c>
    </row>
    <row r="153" spans="1:22" ht="25.5">
      <c r="A153" s="5" t="s">
        <v>42</v>
      </c>
      <c r="B153" s="72" t="s">
        <v>71</v>
      </c>
      <c r="C153" s="164" t="s">
        <v>47</v>
      </c>
      <c r="D153" s="162">
        <v>6600110420</v>
      </c>
      <c r="E153" s="162">
        <v>244</v>
      </c>
      <c r="F153" s="162">
        <v>225</v>
      </c>
      <c r="G153" s="60"/>
      <c r="H153" s="52">
        <v>30000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30000</v>
      </c>
      <c r="U153" s="24">
        <f t="shared" si="55"/>
        <v>30000</v>
      </c>
      <c r="V153" s="21">
        <f t="shared" si="53"/>
        <v>30000</v>
      </c>
    </row>
    <row r="154" spans="1:22" ht="12.75">
      <c r="A154" s="5"/>
      <c r="B154" s="71"/>
      <c r="C154" s="123"/>
      <c r="D154" s="123"/>
      <c r="E154" s="123"/>
      <c r="F154" s="123"/>
      <c r="G154" s="44"/>
      <c r="H154" s="77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24"/>
      <c r="V154" s="21">
        <f t="shared" si="53"/>
        <v>0</v>
      </c>
    </row>
    <row r="155" spans="1:22" ht="12.75">
      <c r="A155" s="5"/>
      <c r="B155" s="29" t="s">
        <v>53</v>
      </c>
      <c r="C155" s="180" t="s">
        <v>47</v>
      </c>
      <c r="D155" s="123"/>
      <c r="E155" s="123"/>
      <c r="F155" s="123"/>
      <c r="G155" s="44"/>
      <c r="H155" s="74">
        <f>H144+H152</f>
        <v>8657120.719999999</v>
      </c>
      <c r="I155" s="75">
        <f aca="true" t="shared" si="58" ref="I155:T155">I144</f>
        <v>80000</v>
      </c>
      <c r="J155" s="75">
        <f t="shared" si="58"/>
        <v>417500</v>
      </c>
      <c r="K155" s="75">
        <f t="shared" si="58"/>
        <v>35000</v>
      </c>
      <c r="L155" s="75">
        <f t="shared" si="58"/>
        <v>280050</v>
      </c>
      <c r="M155" s="75">
        <f t="shared" si="58"/>
        <v>111375</v>
      </c>
      <c r="N155" s="75">
        <f t="shared" si="58"/>
        <v>0</v>
      </c>
      <c r="O155" s="75">
        <f t="shared" si="58"/>
        <v>362020.72</v>
      </c>
      <c r="P155" s="75">
        <f t="shared" si="58"/>
        <v>864960</v>
      </c>
      <c r="Q155" s="75">
        <f t="shared" si="58"/>
        <v>909900</v>
      </c>
      <c r="R155" s="75">
        <f t="shared" si="58"/>
        <v>1376775</v>
      </c>
      <c r="S155" s="75">
        <f t="shared" si="58"/>
        <v>1953415</v>
      </c>
      <c r="T155" s="75">
        <f t="shared" si="58"/>
        <v>2266125</v>
      </c>
      <c r="U155" s="24">
        <f>I155+J155+K155+L155+M155+N155+O155+P155+Q155+R155+S155+T155</f>
        <v>8657120.719999999</v>
      </c>
      <c r="V155" s="21">
        <f t="shared" si="53"/>
        <v>8657120.719999999</v>
      </c>
    </row>
    <row r="156" spans="1:22" ht="12.75">
      <c r="A156" s="5"/>
      <c r="B156" s="71"/>
      <c r="C156" s="123"/>
      <c r="D156" s="123"/>
      <c r="E156" s="123"/>
      <c r="F156" s="123"/>
      <c r="G156" s="44"/>
      <c r="H156" s="7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24"/>
      <c r="V156" s="21">
        <f t="shared" si="53"/>
        <v>0</v>
      </c>
    </row>
    <row r="157" spans="1:22" ht="89.25">
      <c r="A157" s="5" t="s">
        <v>42</v>
      </c>
      <c r="B157" s="35" t="s">
        <v>136</v>
      </c>
      <c r="C157" s="148" t="s">
        <v>23</v>
      </c>
      <c r="D157" s="161">
        <v>6200000000</v>
      </c>
      <c r="E157" s="161"/>
      <c r="F157" s="161"/>
      <c r="G157" s="161"/>
      <c r="H157" s="39">
        <f aca="true" t="shared" si="59" ref="H157:T157">H158+H159</f>
        <v>50000</v>
      </c>
      <c r="I157" s="39">
        <f t="shared" si="59"/>
        <v>0</v>
      </c>
      <c r="J157" s="39">
        <f t="shared" si="59"/>
        <v>9300</v>
      </c>
      <c r="K157" s="39">
        <f t="shared" si="59"/>
        <v>0</v>
      </c>
      <c r="L157" s="39">
        <f t="shared" si="59"/>
        <v>12500</v>
      </c>
      <c r="M157" s="39">
        <f t="shared" si="59"/>
        <v>0</v>
      </c>
      <c r="N157" s="39">
        <f t="shared" si="59"/>
        <v>0</v>
      </c>
      <c r="O157" s="39">
        <f t="shared" si="59"/>
        <v>20000</v>
      </c>
      <c r="P157" s="39">
        <f t="shared" si="59"/>
        <v>0</v>
      </c>
      <c r="Q157" s="39">
        <f t="shared" si="59"/>
        <v>0</v>
      </c>
      <c r="R157" s="39">
        <f t="shared" si="59"/>
        <v>5000</v>
      </c>
      <c r="S157" s="39">
        <f t="shared" si="59"/>
        <v>0</v>
      </c>
      <c r="T157" s="39">
        <f t="shared" si="59"/>
        <v>3200</v>
      </c>
      <c r="U157" s="24">
        <f>I157+J157+K157+L157+M157+N157+O157+P157+Q157+R157+S157+T157</f>
        <v>50000</v>
      </c>
      <c r="V157" s="21">
        <f t="shared" si="53"/>
        <v>50000</v>
      </c>
    </row>
    <row r="158" spans="1:22" ht="12.75">
      <c r="A158" s="5" t="s">
        <v>42</v>
      </c>
      <c r="B158" s="47" t="s">
        <v>15</v>
      </c>
      <c r="C158" s="164" t="s">
        <v>23</v>
      </c>
      <c r="D158" s="162">
        <v>6210110160</v>
      </c>
      <c r="E158" s="162">
        <v>244</v>
      </c>
      <c r="F158" s="162">
        <v>226</v>
      </c>
      <c r="G158" s="60"/>
      <c r="H158" s="52">
        <v>30000</v>
      </c>
      <c r="I158" s="18">
        <v>0</v>
      </c>
      <c r="J158" s="18">
        <v>9300</v>
      </c>
      <c r="K158" s="18">
        <v>0</v>
      </c>
      <c r="L158" s="18">
        <v>12500</v>
      </c>
      <c r="M158" s="18">
        <v>0</v>
      </c>
      <c r="N158" s="18">
        <v>0</v>
      </c>
      <c r="O158" s="18">
        <v>0</v>
      </c>
      <c r="P158" s="18">
        <v>0</v>
      </c>
      <c r="Q158" s="18">
        <v>0</v>
      </c>
      <c r="R158" s="18">
        <f>12500-7500</f>
        <v>5000</v>
      </c>
      <c r="S158" s="18">
        <v>0</v>
      </c>
      <c r="T158" s="18">
        <f>12500-9300</f>
        <v>3200</v>
      </c>
      <c r="U158" s="24">
        <f>I158+J158+K158+L158+M158+N158+O158+P158+Q158+R158+S158+T158</f>
        <v>30000</v>
      </c>
      <c r="V158" s="21">
        <f t="shared" si="53"/>
        <v>30000</v>
      </c>
    </row>
    <row r="159" spans="1:22" ht="12.75">
      <c r="A159" s="5"/>
      <c r="B159" s="68"/>
      <c r="C159" s="164" t="s">
        <v>23</v>
      </c>
      <c r="D159" s="162">
        <v>6210110160</v>
      </c>
      <c r="E159" s="162">
        <v>414</v>
      </c>
      <c r="F159" s="162"/>
      <c r="G159" s="60"/>
      <c r="H159" s="52">
        <v>20000</v>
      </c>
      <c r="I159" s="18">
        <v>0</v>
      </c>
      <c r="J159" s="18">
        <v>0</v>
      </c>
      <c r="K159" s="18">
        <v>0</v>
      </c>
      <c r="L159" s="18">
        <v>0</v>
      </c>
      <c r="M159" s="18">
        <v>0</v>
      </c>
      <c r="N159" s="18">
        <v>0</v>
      </c>
      <c r="O159" s="18">
        <v>20000</v>
      </c>
      <c r="P159" s="18">
        <v>0</v>
      </c>
      <c r="Q159" s="18">
        <v>0</v>
      </c>
      <c r="R159" s="18">
        <v>0</v>
      </c>
      <c r="S159" s="18">
        <v>0</v>
      </c>
      <c r="T159" s="18">
        <v>0</v>
      </c>
      <c r="U159" s="24"/>
      <c r="V159" s="21">
        <f t="shared" si="53"/>
        <v>20000</v>
      </c>
    </row>
    <row r="160" spans="1:22" ht="12.75">
      <c r="A160" s="5"/>
      <c r="B160" s="71"/>
      <c r="C160" s="123"/>
      <c r="D160" s="123"/>
      <c r="E160" s="123"/>
      <c r="F160" s="123"/>
      <c r="G160" s="44"/>
      <c r="H160" s="7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24"/>
      <c r="V160" s="21">
        <f t="shared" si="53"/>
        <v>0</v>
      </c>
    </row>
    <row r="161" spans="1:22" ht="89.25">
      <c r="A161" s="5" t="s">
        <v>42</v>
      </c>
      <c r="B161" s="35" t="s">
        <v>135</v>
      </c>
      <c r="C161" s="148" t="s">
        <v>23</v>
      </c>
      <c r="D161" s="161">
        <v>6300000000</v>
      </c>
      <c r="E161" s="161"/>
      <c r="F161" s="161"/>
      <c r="G161" s="161"/>
      <c r="H161" s="39">
        <f aca="true" t="shared" si="60" ref="H161:T161">H162</f>
        <v>10000</v>
      </c>
      <c r="I161" s="39">
        <f t="shared" si="60"/>
        <v>0</v>
      </c>
      <c r="J161" s="39">
        <f t="shared" si="60"/>
        <v>0</v>
      </c>
      <c r="K161" s="39">
        <f t="shared" si="60"/>
        <v>0</v>
      </c>
      <c r="L161" s="39">
        <f t="shared" si="60"/>
        <v>0</v>
      </c>
      <c r="M161" s="39">
        <f t="shared" si="60"/>
        <v>0</v>
      </c>
      <c r="N161" s="39">
        <f t="shared" si="60"/>
        <v>0</v>
      </c>
      <c r="O161" s="39">
        <f t="shared" si="60"/>
        <v>0</v>
      </c>
      <c r="P161" s="39">
        <f t="shared" si="60"/>
        <v>0</v>
      </c>
      <c r="Q161" s="39">
        <f t="shared" si="60"/>
        <v>0</v>
      </c>
      <c r="R161" s="39">
        <f t="shared" si="60"/>
        <v>0</v>
      </c>
      <c r="S161" s="39">
        <f t="shared" si="60"/>
        <v>0</v>
      </c>
      <c r="T161" s="39">
        <f t="shared" si="60"/>
        <v>10000</v>
      </c>
      <c r="U161" s="24">
        <f>I161+J161+K161+L161+M161+N161+O161+P161+Q161+R161+S161+T161</f>
        <v>10000</v>
      </c>
      <c r="V161" s="21">
        <f t="shared" si="53"/>
        <v>10000</v>
      </c>
    </row>
    <row r="162" spans="1:22" ht="12.75">
      <c r="A162" s="5" t="s">
        <v>42</v>
      </c>
      <c r="B162" s="72" t="s">
        <v>16</v>
      </c>
      <c r="C162" s="164" t="s">
        <v>23</v>
      </c>
      <c r="D162" s="162">
        <v>6310110170</v>
      </c>
      <c r="E162" s="162">
        <v>244</v>
      </c>
      <c r="F162" s="162">
        <v>290</v>
      </c>
      <c r="G162" s="162"/>
      <c r="H162" s="52">
        <v>10000</v>
      </c>
      <c r="I162" s="18">
        <v>0</v>
      </c>
      <c r="J162" s="18">
        <v>0</v>
      </c>
      <c r="K162" s="18">
        <v>0</v>
      </c>
      <c r="L162" s="18">
        <v>0</v>
      </c>
      <c r="M162" s="18">
        <v>0</v>
      </c>
      <c r="N162" s="18">
        <v>0</v>
      </c>
      <c r="O162" s="18">
        <v>0</v>
      </c>
      <c r="P162" s="18">
        <v>0</v>
      </c>
      <c r="Q162" s="18">
        <v>0</v>
      </c>
      <c r="R162" s="18">
        <v>0</v>
      </c>
      <c r="S162" s="18">
        <v>0</v>
      </c>
      <c r="T162" s="18">
        <v>10000</v>
      </c>
      <c r="U162" s="24">
        <f>I162+J162+K162+L162+M162+N162+O162+P162+Q162+R162+S162+T162</f>
        <v>10000</v>
      </c>
      <c r="V162" s="21">
        <f t="shared" si="53"/>
        <v>10000</v>
      </c>
    </row>
    <row r="163" spans="1:22" ht="12.75" hidden="1">
      <c r="A163" s="5"/>
      <c r="B163" s="72"/>
      <c r="C163" s="128"/>
      <c r="D163" s="127"/>
      <c r="E163" s="127"/>
      <c r="F163" s="127"/>
      <c r="G163" s="50"/>
      <c r="H163" s="7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24"/>
      <c r="V163" s="21">
        <f t="shared" si="53"/>
        <v>0</v>
      </c>
    </row>
    <row r="164" spans="1:22" ht="88.5" customHeight="1" hidden="1">
      <c r="A164" s="5" t="s">
        <v>42</v>
      </c>
      <c r="B164" s="35" t="s">
        <v>105</v>
      </c>
      <c r="C164" s="116" t="s">
        <v>23</v>
      </c>
      <c r="D164" s="117">
        <v>6400000000</v>
      </c>
      <c r="E164" s="117"/>
      <c r="F164" s="117"/>
      <c r="G164" s="37"/>
      <c r="H164" s="39">
        <f aca="true" t="shared" si="61" ref="H164:T164">H166</f>
        <v>0</v>
      </c>
      <c r="I164" s="39">
        <f t="shared" si="61"/>
        <v>0</v>
      </c>
      <c r="J164" s="39">
        <f t="shared" si="61"/>
        <v>0</v>
      </c>
      <c r="K164" s="39">
        <f t="shared" si="61"/>
        <v>0</v>
      </c>
      <c r="L164" s="39">
        <f t="shared" si="61"/>
        <v>0</v>
      </c>
      <c r="M164" s="39">
        <f t="shared" si="61"/>
        <v>0</v>
      </c>
      <c r="N164" s="39">
        <f t="shared" si="61"/>
        <v>0</v>
      </c>
      <c r="O164" s="39">
        <f t="shared" si="61"/>
        <v>0</v>
      </c>
      <c r="P164" s="39">
        <f t="shared" si="61"/>
        <v>0</v>
      </c>
      <c r="Q164" s="39">
        <f t="shared" si="61"/>
        <v>0</v>
      </c>
      <c r="R164" s="39">
        <f t="shared" si="61"/>
        <v>0</v>
      </c>
      <c r="S164" s="39">
        <f t="shared" si="61"/>
        <v>0</v>
      </c>
      <c r="T164" s="39">
        <f t="shared" si="61"/>
        <v>0</v>
      </c>
      <c r="U164" s="24">
        <f>I164+J164+K164+L164+M164+N164+O164+P164+Q164+R164+S164+T164</f>
        <v>0</v>
      </c>
      <c r="V164" s="21">
        <f t="shared" si="53"/>
        <v>0</v>
      </c>
    </row>
    <row r="165" spans="1:22" ht="12.75" hidden="1">
      <c r="A165" s="5"/>
      <c r="B165" s="76"/>
      <c r="C165" s="136"/>
      <c r="D165" s="123"/>
      <c r="E165" s="123"/>
      <c r="F165" s="123"/>
      <c r="G165" s="44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24"/>
      <c r="V165" s="21">
        <f t="shared" si="53"/>
        <v>0</v>
      </c>
    </row>
    <row r="166" spans="1:22" ht="120.75" customHeight="1" hidden="1">
      <c r="A166" s="5" t="s">
        <v>42</v>
      </c>
      <c r="B166" s="35" t="s">
        <v>106</v>
      </c>
      <c r="C166" s="116" t="s">
        <v>23</v>
      </c>
      <c r="D166" s="117">
        <v>6410000000</v>
      </c>
      <c r="E166" s="117"/>
      <c r="F166" s="117"/>
      <c r="G166" s="37"/>
      <c r="H166" s="39">
        <f aca="true" t="shared" si="62" ref="H166:T166">H167</f>
        <v>0</v>
      </c>
      <c r="I166" s="39">
        <f t="shared" si="62"/>
        <v>0</v>
      </c>
      <c r="J166" s="39">
        <f t="shared" si="62"/>
        <v>0</v>
      </c>
      <c r="K166" s="39">
        <f t="shared" si="62"/>
        <v>0</v>
      </c>
      <c r="L166" s="39">
        <f t="shared" si="62"/>
        <v>0</v>
      </c>
      <c r="M166" s="39">
        <f t="shared" si="62"/>
        <v>0</v>
      </c>
      <c r="N166" s="39">
        <f t="shared" si="62"/>
        <v>0</v>
      </c>
      <c r="O166" s="39">
        <f t="shared" si="62"/>
        <v>0</v>
      </c>
      <c r="P166" s="39">
        <f t="shared" si="62"/>
        <v>0</v>
      </c>
      <c r="Q166" s="39">
        <f t="shared" si="62"/>
        <v>0</v>
      </c>
      <c r="R166" s="39">
        <f t="shared" si="62"/>
        <v>0</v>
      </c>
      <c r="S166" s="39">
        <f t="shared" si="62"/>
        <v>0</v>
      </c>
      <c r="T166" s="39">
        <f t="shared" si="62"/>
        <v>0</v>
      </c>
      <c r="U166" s="24">
        <f>I166+J166+K166+L166+M166+N166+O166+P166+Q166+R166+S166+T166</f>
        <v>0</v>
      </c>
      <c r="V166" s="21">
        <f t="shared" si="53"/>
        <v>0</v>
      </c>
    </row>
    <row r="167" spans="1:22" ht="12.75" hidden="1">
      <c r="A167" s="5" t="s">
        <v>42</v>
      </c>
      <c r="B167" s="47" t="s">
        <v>15</v>
      </c>
      <c r="C167" s="128" t="s">
        <v>23</v>
      </c>
      <c r="D167" s="127">
        <v>6410110180</v>
      </c>
      <c r="E167" s="127">
        <v>244</v>
      </c>
      <c r="F167" s="127">
        <v>226</v>
      </c>
      <c r="G167" s="50"/>
      <c r="H167" s="52">
        <v>0</v>
      </c>
      <c r="I167" s="78">
        <v>0</v>
      </c>
      <c r="J167" s="78">
        <v>0</v>
      </c>
      <c r="K167" s="78">
        <v>0</v>
      </c>
      <c r="L167" s="78">
        <v>0</v>
      </c>
      <c r="M167" s="78">
        <v>0</v>
      </c>
      <c r="N167" s="78">
        <v>0</v>
      </c>
      <c r="O167" s="78">
        <v>0</v>
      </c>
      <c r="P167" s="78">
        <v>0</v>
      </c>
      <c r="Q167" s="78">
        <v>0</v>
      </c>
      <c r="R167" s="78">
        <v>0</v>
      </c>
      <c r="S167" s="78">
        <v>0</v>
      </c>
      <c r="T167" s="78">
        <v>0</v>
      </c>
      <c r="U167" s="24">
        <f>I167+J167+K167+L167+M167+N167+O167+P167+Q167+R167+S167+T167</f>
        <v>0</v>
      </c>
      <c r="V167" s="21">
        <f t="shared" si="53"/>
        <v>0</v>
      </c>
    </row>
    <row r="168" spans="1:22" ht="12.75">
      <c r="A168" s="5"/>
      <c r="B168" s="76"/>
      <c r="C168" s="136"/>
      <c r="D168" s="123"/>
      <c r="E168" s="123"/>
      <c r="F168" s="123"/>
      <c r="G168" s="44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24"/>
      <c r="V168" s="21">
        <f t="shared" si="53"/>
        <v>0</v>
      </c>
    </row>
    <row r="169" spans="1:22" ht="12.75">
      <c r="A169" s="5"/>
      <c r="B169" s="29" t="s">
        <v>53</v>
      </c>
      <c r="C169" s="180" t="s">
        <v>23</v>
      </c>
      <c r="D169" s="123"/>
      <c r="E169" s="123"/>
      <c r="F169" s="123"/>
      <c r="G169" s="44"/>
      <c r="H169" s="74">
        <f aca="true" t="shared" si="63" ref="H169:T169">H161+H157+H166</f>
        <v>60000</v>
      </c>
      <c r="I169" s="75">
        <f t="shared" si="63"/>
        <v>0</v>
      </c>
      <c r="J169" s="75">
        <f t="shared" si="63"/>
        <v>9300</v>
      </c>
      <c r="K169" s="75">
        <f t="shared" si="63"/>
        <v>0</v>
      </c>
      <c r="L169" s="75">
        <f t="shared" si="63"/>
        <v>12500</v>
      </c>
      <c r="M169" s="75">
        <f t="shared" si="63"/>
        <v>0</v>
      </c>
      <c r="N169" s="75">
        <f t="shared" si="63"/>
        <v>0</v>
      </c>
      <c r="O169" s="75">
        <f t="shared" si="63"/>
        <v>20000</v>
      </c>
      <c r="P169" s="75">
        <f t="shared" si="63"/>
        <v>0</v>
      </c>
      <c r="Q169" s="75">
        <f t="shared" si="63"/>
        <v>0</v>
      </c>
      <c r="R169" s="75">
        <f t="shared" si="63"/>
        <v>5000</v>
      </c>
      <c r="S169" s="75">
        <f t="shared" si="63"/>
        <v>0</v>
      </c>
      <c r="T169" s="75">
        <f t="shared" si="63"/>
        <v>13200</v>
      </c>
      <c r="U169" s="24">
        <f>I169+J169+K169+L169+M169+N169+O169+P169+Q169+R169+S169+T169</f>
        <v>60000</v>
      </c>
      <c r="V169" s="21">
        <f t="shared" si="53"/>
        <v>60000</v>
      </c>
    </row>
    <row r="170" spans="1:22" ht="12.75">
      <c r="A170" s="5"/>
      <c r="B170" s="71"/>
      <c r="C170" s="123"/>
      <c r="D170" s="123"/>
      <c r="E170" s="123"/>
      <c r="F170" s="123"/>
      <c r="G170" s="44"/>
      <c r="H170" s="77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24"/>
      <c r="V170" s="21">
        <f t="shared" si="53"/>
        <v>0</v>
      </c>
    </row>
    <row r="171" spans="1:22" ht="12.75">
      <c r="A171" s="53"/>
      <c r="B171" s="54" t="s">
        <v>73</v>
      </c>
      <c r="C171" s="139"/>
      <c r="D171" s="139"/>
      <c r="E171" s="139"/>
      <c r="F171" s="139"/>
      <c r="G171" s="79"/>
      <c r="H171" s="80">
        <f aca="true" t="shared" si="64" ref="H171:T171">H169+H155</f>
        <v>8717120.719999999</v>
      </c>
      <c r="I171" s="80">
        <f t="shared" si="64"/>
        <v>80000</v>
      </c>
      <c r="J171" s="80">
        <f t="shared" si="64"/>
        <v>426800</v>
      </c>
      <c r="K171" s="80">
        <f t="shared" si="64"/>
        <v>35000</v>
      </c>
      <c r="L171" s="80">
        <f t="shared" si="64"/>
        <v>292550</v>
      </c>
      <c r="M171" s="80">
        <f t="shared" si="64"/>
        <v>111375</v>
      </c>
      <c r="N171" s="80">
        <f t="shared" si="64"/>
        <v>0</v>
      </c>
      <c r="O171" s="80">
        <f t="shared" si="64"/>
        <v>382020.72</v>
      </c>
      <c r="P171" s="80">
        <f t="shared" si="64"/>
        <v>864960</v>
      </c>
      <c r="Q171" s="80">
        <f t="shared" si="64"/>
        <v>909900</v>
      </c>
      <c r="R171" s="80">
        <f t="shared" si="64"/>
        <v>1381775</v>
      </c>
      <c r="S171" s="80">
        <f t="shared" si="64"/>
        <v>1953415</v>
      </c>
      <c r="T171" s="80">
        <f t="shared" si="64"/>
        <v>2279325</v>
      </c>
      <c r="U171" s="24">
        <f>I171+J171+K171+L171+M171+N171+O171+P171+Q171+R171+S171+T171</f>
        <v>8717120.719999999</v>
      </c>
      <c r="V171" s="199">
        <f t="shared" si="53"/>
        <v>8717120.719999999</v>
      </c>
    </row>
    <row r="172" spans="1:22" ht="12.75">
      <c r="A172" s="42"/>
      <c r="B172" s="66"/>
      <c r="C172" s="123"/>
      <c r="D172" s="123"/>
      <c r="E172" s="123"/>
      <c r="F172" s="123"/>
      <c r="G172" s="44"/>
      <c r="H172" s="81"/>
      <c r="I172" s="81"/>
      <c r="J172" s="81"/>
      <c r="K172" s="81"/>
      <c r="L172" s="81"/>
      <c r="M172" s="81"/>
      <c r="N172" s="81"/>
      <c r="O172" s="81"/>
      <c r="P172" s="81"/>
      <c r="Q172" s="81"/>
      <c r="R172" s="81"/>
      <c r="S172" s="81"/>
      <c r="T172" s="81"/>
      <c r="U172" s="24"/>
      <c r="V172" s="21">
        <f t="shared" si="53"/>
        <v>0</v>
      </c>
    </row>
    <row r="173" spans="1:22" ht="84" customHeight="1">
      <c r="A173" s="5" t="s">
        <v>42</v>
      </c>
      <c r="B173" s="35" t="s">
        <v>138</v>
      </c>
      <c r="C173" s="148" t="s">
        <v>24</v>
      </c>
      <c r="D173" s="161">
        <v>6400000000</v>
      </c>
      <c r="E173" s="117"/>
      <c r="F173" s="117"/>
      <c r="G173" s="37"/>
      <c r="H173" s="39">
        <f aca="true" t="shared" si="65" ref="H173:T173">H175+H178+H182+H185+H188+H191</f>
        <v>12699090.73</v>
      </c>
      <c r="I173" s="39">
        <f t="shared" si="65"/>
        <v>7616.33</v>
      </c>
      <c r="J173" s="39">
        <f t="shared" si="65"/>
        <v>0</v>
      </c>
      <c r="K173" s="39">
        <f t="shared" si="65"/>
        <v>0</v>
      </c>
      <c r="L173" s="39">
        <f t="shared" si="65"/>
        <v>6400</v>
      </c>
      <c r="M173" s="39">
        <f t="shared" si="65"/>
        <v>56400</v>
      </c>
      <c r="N173" s="39">
        <f t="shared" si="65"/>
        <v>36583.67</v>
      </c>
      <c r="O173" s="39">
        <f t="shared" si="65"/>
        <v>22800</v>
      </c>
      <c r="P173" s="39">
        <f t="shared" si="65"/>
        <v>6400</v>
      </c>
      <c r="Q173" s="39">
        <f t="shared" si="65"/>
        <v>6400</v>
      </c>
      <c r="R173" s="39">
        <f t="shared" si="65"/>
        <v>56400</v>
      </c>
      <c r="S173" s="39">
        <f t="shared" si="65"/>
        <v>12478800</v>
      </c>
      <c r="T173" s="39">
        <f t="shared" si="65"/>
        <v>21290.73</v>
      </c>
      <c r="U173" s="24">
        <f>I173+J173+K173+L173+M173+N173+O173+P173+Q173+R173+S173+T173</f>
        <v>12699090.73</v>
      </c>
      <c r="V173" s="21">
        <f t="shared" si="53"/>
        <v>12699090.73</v>
      </c>
    </row>
    <row r="174" spans="1:22" ht="13.5" customHeight="1">
      <c r="A174" s="5"/>
      <c r="B174" s="43"/>
      <c r="C174" s="122"/>
      <c r="D174" s="123"/>
      <c r="E174" s="123"/>
      <c r="F174" s="123"/>
      <c r="G174" s="44"/>
      <c r="H174" s="77"/>
      <c r="I174" s="77"/>
      <c r="J174" s="77"/>
      <c r="K174" s="77"/>
      <c r="L174" s="77"/>
      <c r="M174" s="77"/>
      <c r="N174" s="77"/>
      <c r="O174" s="77"/>
      <c r="P174" s="77"/>
      <c r="Q174" s="77"/>
      <c r="R174" s="77"/>
      <c r="S174" s="77"/>
      <c r="T174" s="77"/>
      <c r="U174" s="24"/>
      <c r="V174" s="21">
        <f t="shared" si="53"/>
        <v>0</v>
      </c>
    </row>
    <row r="175" spans="1:22" ht="120" customHeight="1">
      <c r="A175" s="5" t="s">
        <v>42</v>
      </c>
      <c r="B175" s="35" t="s">
        <v>137</v>
      </c>
      <c r="C175" s="148" t="s">
        <v>24</v>
      </c>
      <c r="D175" s="161">
        <v>6410000000</v>
      </c>
      <c r="E175" s="160"/>
      <c r="F175" s="160"/>
      <c r="G175" s="37"/>
      <c r="H175" s="39">
        <f aca="true" t="shared" si="66" ref="H175:T175">H176</f>
        <v>10000</v>
      </c>
      <c r="I175" s="39">
        <f t="shared" si="66"/>
        <v>0</v>
      </c>
      <c r="J175" s="39">
        <f t="shared" si="66"/>
        <v>0</v>
      </c>
      <c r="K175" s="39">
        <f t="shared" si="66"/>
        <v>0</v>
      </c>
      <c r="L175" s="39">
        <f t="shared" si="66"/>
        <v>0</v>
      </c>
      <c r="M175" s="39">
        <f t="shared" si="66"/>
        <v>0</v>
      </c>
      <c r="N175" s="39">
        <f t="shared" si="66"/>
        <v>0</v>
      </c>
      <c r="O175" s="39">
        <f t="shared" si="66"/>
        <v>10000</v>
      </c>
      <c r="P175" s="39">
        <f t="shared" si="66"/>
        <v>0</v>
      </c>
      <c r="Q175" s="39">
        <f t="shared" si="66"/>
        <v>0</v>
      </c>
      <c r="R175" s="39">
        <f t="shared" si="66"/>
        <v>0</v>
      </c>
      <c r="S175" s="39">
        <f t="shared" si="66"/>
        <v>0</v>
      </c>
      <c r="T175" s="39">
        <f t="shared" si="66"/>
        <v>0</v>
      </c>
      <c r="U175" s="24">
        <f>I175+J175+K175+L175+M175+N175+O175+P175+Q175+R175+S175+T175</f>
        <v>10000</v>
      </c>
      <c r="V175" s="21">
        <f t="shared" si="53"/>
        <v>10000</v>
      </c>
    </row>
    <row r="176" spans="1:22" ht="21" customHeight="1">
      <c r="A176" s="5" t="s">
        <v>42</v>
      </c>
      <c r="B176" s="47" t="s">
        <v>15</v>
      </c>
      <c r="C176" s="164" t="s">
        <v>24</v>
      </c>
      <c r="D176" s="162">
        <v>6410110180</v>
      </c>
      <c r="E176" s="162">
        <v>414</v>
      </c>
      <c r="F176" s="162">
        <v>226</v>
      </c>
      <c r="G176" s="50"/>
      <c r="H176" s="52">
        <v>10000</v>
      </c>
      <c r="I176" s="78">
        <v>0</v>
      </c>
      <c r="J176" s="78">
        <v>0</v>
      </c>
      <c r="K176" s="78">
        <v>0</v>
      </c>
      <c r="L176" s="78">
        <v>0</v>
      </c>
      <c r="M176" s="78">
        <v>0</v>
      </c>
      <c r="N176" s="78">
        <v>0</v>
      </c>
      <c r="O176" s="78">
        <v>10000</v>
      </c>
      <c r="P176" s="78">
        <v>0</v>
      </c>
      <c r="Q176" s="78">
        <v>0</v>
      </c>
      <c r="R176" s="78">
        <v>0</v>
      </c>
      <c r="S176" s="78">
        <v>0</v>
      </c>
      <c r="T176" s="78">
        <v>0</v>
      </c>
      <c r="U176" s="24">
        <f>I176+J176+K176+L176+M176+N176+O176+P176+Q176+R176+S176+T176</f>
        <v>10000</v>
      </c>
      <c r="V176" s="21">
        <f t="shared" si="53"/>
        <v>10000</v>
      </c>
    </row>
    <row r="177" spans="1:22" ht="14.25" customHeight="1">
      <c r="A177" s="5"/>
      <c r="B177" s="71"/>
      <c r="C177" s="122"/>
      <c r="D177" s="123"/>
      <c r="E177" s="123"/>
      <c r="F177" s="123"/>
      <c r="G177" s="44"/>
      <c r="H177" s="77"/>
      <c r="I177" s="77"/>
      <c r="J177" s="77"/>
      <c r="K177" s="77"/>
      <c r="L177" s="77"/>
      <c r="M177" s="77"/>
      <c r="N177" s="77"/>
      <c r="O177" s="77"/>
      <c r="P177" s="77"/>
      <c r="Q177" s="77"/>
      <c r="R177" s="77"/>
      <c r="S177" s="77"/>
      <c r="T177" s="77"/>
      <c r="U177" s="24"/>
      <c r="V177" s="21">
        <f aca="true" t="shared" si="67" ref="V177:V208">SUM(I177:T177)</f>
        <v>0</v>
      </c>
    </row>
    <row r="178" spans="1:22" ht="69.75" customHeight="1">
      <c r="A178" s="5" t="s">
        <v>42</v>
      </c>
      <c r="B178" s="35" t="s">
        <v>139</v>
      </c>
      <c r="C178" s="148" t="s">
        <v>24</v>
      </c>
      <c r="D178" s="161">
        <v>6420000000</v>
      </c>
      <c r="E178" s="161"/>
      <c r="F178" s="161"/>
      <c r="G178" s="37"/>
      <c r="H178" s="39">
        <f aca="true" t="shared" si="68" ref="H178:T178">H179+H180</f>
        <v>127100</v>
      </c>
      <c r="I178" s="39">
        <f t="shared" si="68"/>
        <v>7616.33</v>
      </c>
      <c r="J178" s="39">
        <f t="shared" si="68"/>
        <v>0</v>
      </c>
      <c r="K178" s="39">
        <f t="shared" si="68"/>
        <v>0</v>
      </c>
      <c r="L178" s="39">
        <f t="shared" si="68"/>
        <v>6400</v>
      </c>
      <c r="M178" s="39">
        <f t="shared" si="68"/>
        <v>6400</v>
      </c>
      <c r="N178" s="39">
        <f t="shared" si="68"/>
        <v>36583.67</v>
      </c>
      <c r="O178" s="39">
        <f t="shared" si="68"/>
        <v>12800</v>
      </c>
      <c r="P178" s="39">
        <f t="shared" si="68"/>
        <v>6400</v>
      </c>
      <c r="Q178" s="39">
        <f t="shared" si="68"/>
        <v>6400</v>
      </c>
      <c r="R178" s="39">
        <f t="shared" si="68"/>
        <v>6400</v>
      </c>
      <c r="S178" s="39">
        <f t="shared" si="68"/>
        <v>31400</v>
      </c>
      <c r="T178" s="39">
        <f t="shared" si="68"/>
        <v>6700</v>
      </c>
      <c r="U178" s="24">
        <f aca="true" t="shared" si="69" ref="U178:U189">I178+J178+K178+L178+M178+N178+O178+P178+Q178+R178+S178+T178</f>
        <v>127100</v>
      </c>
      <c r="V178" s="21">
        <f t="shared" si="67"/>
        <v>127100</v>
      </c>
    </row>
    <row r="179" spans="1:22" ht="25.5">
      <c r="A179" s="5" t="s">
        <v>42</v>
      </c>
      <c r="B179" s="72" t="s">
        <v>71</v>
      </c>
      <c r="C179" s="164" t="s">
        <v>24</v>
      </c>
      <c r="D179" s="162">
        <v>6420110150</v>
      </c>
      <c r="E179" s="162">
        <v>244</v>
      </c>
      <c r="F179" s="162">
        <v>225</v>
      </c>
      <c r="G179" s="50"/>
      <c r="H179" s="78">
        <f>77100+1216.33</f>
        <v>78316.33</v>
      </c>
      <c r="I179" s="78">
        <f>6400+1216.33</f>
        <v>7616.33</v>
      </c>
      <c r="J179" s="78">
        <v>0</v>
      </c>
      <c r="K179" s="78">
        <v>0</v>
      </c>
      <c r="L179" s="78">
        <v>6400</v>
      </c>
      <c r="M179" s="78">
        <v>6400</v>
      </c>
      <c r="N179" s="78">
        <f>6400+6400</f>
        <v>12800</v>
      </c>
      <c r="O179" s="78">
        <f>6400+6400</f>
        <v>12800</v>
      </c>
      <c r="P179" s="78">
        <v>6400</v>
      </c>
      <c r="Q179" s="78">
        <v>6400</v>
      </c>
      <c r="R179" s="78">
        <v>6400</v>
      </c>
      <c r="S179" s="78">
        <v>6400</v>
      </c>
      <c r="T179" s="78">
        <v>6700</v>
      </c>
      <c r="U179" s="24">
        <f t="shared" si="69"/>
        <v>78316.33</v>
      </c>
      <c r="V179" s="21">
        <f t="shared" si="67"/>
        <v>78316.33</v>
      </c>
    </row>
    <row r="180" spans="1:22" ht="17.25" customHeight="1">
      <c r="A180" s="5" t="s">
        <v>42</v>
      </c>
      <c r="B180" s="47" t="s">
        <v>15</v>
      </c>
      <c r="C180" s="164" t="s">
        <v>24</v>
      </c>
      <c r="D180" s="162">
        <v>6420110150</v>
      </c>
      <c r="E180" s="162">
        <v>414</v>
      </c>
      <c r="F180" s="162">
        <v>226</v>
      </c>
      <c r="G180" s="50"/>
      <c r="H180" s="78">
        <f>50000-1216.33</f>
        <v>48783.67</v>
      </c>
      <c r="I180" s="78">
        <v>0</v>
      </c>
      <c r="J180" s="78">
        <v>0</v>
      </c>
      <c r="K180" s="78">
        <v>0</v>
      </c>
      <c r="L180" s="78">
        <v>0</v>
      </c>
      <c r="M180" s="78">
        <v>0</v>
      </c>
      <c r="N180" s="78">
        <f>25000-1216.33</f>
        <v>23783.67</v>
      </c>
      <c r="O180" s="78">
        <v>0</v>
      </c>
      <c r="P180" s="78">
        <v>0</v>
      </c>
      <c r="Q180" s="78">
        <v>0</v>
      </c>
      <c r="R180" s="78">
        <v>0</v>
      </c>
      <c r="S180" s="78">
        <v>25000</v>
      </c>
      <c r="T180" s="78">
        <v>0</v>
      </c>
      <c r="U180" s="24">
        <f t="shared" si="69"/>
        <v>48783.67</v>
      </c>
      <c r="V180" s="21">
        <f t="shared" si="67"/>
        <v>48783.67</v>
      </c>
    </row>
    <row r="181" spans="1:22" ht="12.75">
      <c r="A181" s="42"/>
      <c r="B181" s="66"/>
      <c r="C181" s="123"/>
      <c r="D181" s="123"/>
      <c r="E181" s="123"/>
      <c r="F181" s="123"/>
      <c r="G181" s="44"/>
      <c r="H181" s="81"/>
      <c r="I181" s="81"/>
      <c r="J181" s="81"/>
      <c r="K181" s="81"/>
      <c r="L181" s="81"/>
      <c r="M181" s="81"/>
      <c r="N181" s="81"/>
      <c r="O181" s="81"/>
      <c r="P181" s="81"/>
      <c r="Q181" s="81"/>
      <c r="R181" s="81"/>
      <c r="S181" s="81"/>
      <c r="T181" s="81"/>
      <c r="U181" s="24">
        <f t="shared" si="69"/>
        <v>0</v>
      </c>
      <c r="V181" s="21">
        <f t="shared" si="67"/>
        <v>0</v>
      </c>
    </row>
    <row r="182" spans="1:22" ht="73.5" customHeight="1">
      <c r="A182" s="5" t="s">
        <v>42</v>
      </c>
      <c r="B182" s="35" t="s">
        <v>140</v>
      </c>
      <c r="C182" s="148" t="s">
        <v>24</v>
      </c>
      <c r="D182" s="161">
        <v>6430000000</v>
      </c>
      <c r="E182" s="161"/>
      <c r="F182" s="161"/>
      <c r="G182" s="37"/>
      <c r="H182" s="39">
        <f aca="true" t="shared" si="70" ref="H182:T182">H183</f>
        <v>30000</v>
      </c>
      <c r="I182" s="39">
        <f t="shared" si="70"/>
        <v>0</v>
      </c>
      <c r="J182" s="39">
        <f t="shared" si="70"/>
        <v>0</v>
      </c>
      <c r="K182" s="39">
        <f t="shared" si="70"/>
        <v>0</v>
      </c>
      <c r="L182" s="39">
        <f t="shared" si="70"/>
        <v>0</v>
      </c>
      <c r="M182" s="39">
        <f t="shared" si="70"/>
        <v>0</v>
      </c>
      <c r="N182" s="39">
        <f t="shared" si="70"/>
        <v>0</v>
      </c>
      <c r="O182" s="39">
        <f t="shared" si="70"/>
        <v>0</v>
      </c>
      <c r="P182" s="39">
        <f t="shared" si="70"/>
        <v>0</v>
      </c>
      <c r="Q182" s="39">
        <f t="shared" si="70"/>
        <v>0</v>
      </c>
      <c r="R182" s="39">
        <f t="shared" si="70"/>
        <v>0</v>
      </c>
      <c r="S182" s="39">
        <f t="shared" si="70"/>
        <v>30000</v>
      </c>
      <c r="T182" s="39">
        <f t="shared" si="70"/>
        <v>0</v>
      </c>
      <c r="U182" s="24">
        <f t="shared" si="69"/>
        <v>30000</v>
      </c>
      <c r="V182" s="21">
        <f t="shared" si="67"/>
        <v>30000</v>
      </c>
    </row>
    <row r="183" spans="1:22" ht="25.5">
      <c r="A183" s="5" t="s">
        <v>42</v>
      </c>
      <c r="B183" s="72" t="s">
        <v>71</v>
      </c>
      <c r="C183" s="164" t="s">
        <v>24</v>
      </c>
      <c r="D183" s="162">
        <v>6430110200</v>
      </c>
      <c r="E183" s="162">
        <v>244</v>
      </c>
      <c r="F183" s="162">
        <v>225</v>
      </c>
      <c r="G183" s="44"/>
      <c r="H183" s="78">
        <v>30000</v>
      </c>
      <c r="I183" s="78">
        <v>0</v>
      </c>
      <c r="J183" s="78">
        <v>0</v>
      </c>
      <c r="K183" s="78">
        <v>0</v>
      </c>
      <c r="L183" s="78">
        <v>0</v>
      </c>
      <c r="M183" s="78">
        <v>0</v>
      </c>
      <c r="N183" s="78">
        <v>0</v>
      </c>
      <c r="O183" s="78">
        <v>0</v>
      </c>
      <c r="P183" s="78">
        <v>0</v>
      </c>
      <c r="Q183" s="78">
        <v>0</v>
      </c>
      <c r="R183" s="78">
        <v>0</v>
      </c>
      <c r="S183" s="78">
        <v>30000</v>
      </c>
      <c r="T183" s="78">
        <v>0</v>
      </c>
      <c r="U183" s="24">
        <f t="shared" si="69"/>
        <v>30000</v>
      </c>
      <c r="V183" s="21">
        <f t="shared" si="67"/>
        <v>30000</v>
      </c>
    </row>
    <row r="184" spans="1:22" ht="12.75">
      <c r="A184" s="42"/>
      <c r="B184" s="66"/>
      <c r="C184" s="123"/>
      <c r="D184" s="123"/>
      <c r="E184" s="123"/>
      <c r="F184" s="123"/>
      <c r="G184" s="44"/>
      <c r="H184" s="81"/>
      <c r="I184" s="81"/>
      <c r="J184" s="81"/>
      <c r="K184" s="81"/>
      <c r="L184" s="81"/>
      <c r="M184" s="81"/>
      <c r="N184" s="81"/>
      <c r="O184" s="81"/>
      <c r="P184" s="81"/>
      <c r="Q184" s="81"/>
      <c r="R184" s="81"/>
      <c r="S184" s="81"/>
      <c r="T184" s="81"/>
      <c r="U184" s="24">
        <f t="shared" si="69"/>
        <v>0</v>
      </c>
      <c r="V184" s="21">
        <f t="shared" si="67"/>
        <v>0</v>
      </c>
    </row>
    <row r="185" spans="1:22" ht="69" customHeight="1">
      <c r="A185" s="5" t="s">
        <v>42</v>
      </c>
      <c r="B185" s="35" t="s">
        <v>141</v>
      </c>
      <c r="C185" s="148" t="s">
        <v>24</v>
      </c>
      <c r="D185" s="161">
        <v>6440000000</v>
      </c>
      <c r="E185" s="161"/>
      <c r="F185" s="161"/>
      <c r="G185" s="37"/>
      <c r="H185" s="39">
        <f aca="true" t="shared" si="71" ref="H185:T185">H186</f>
        <v>30000</v>
      </c>
      <c r="I185" s="39">
        <f t="shared" si="71"/>
        <v>0</v>
      </c>
      <c r="J185" s="39">
        <f t="shared" si="71"/>
        <v>0</v>
      </c>
      <c r="K185" s="39">
        <f t="shared" si="71"/>
        <v>0</v>
      </c>
      <c r="L185" s="39">
        <f t="shared" si="71"/>
        <v>0</v>
      </c>
      <c r="M185" s="39">
        <f t="shared" si="71"/>
        <v>0</v>
      </c>
      <c r="N185" s="39">
        <f t="shared" si="71"/>
        <v>0</v>
      </c>
      <c r="O185" s="39">
        <f t="shared" si="71"/>
        <v>0</v>
      </c>
      <c r="P185" s="39">
        <f t="shared" si="71"/>
        <v>0</v>
      </c>
      <c r="Q185" s="39">
        <f t="shared" si="71"/>
        <v>0</v>
      </c>
      <c r="R185" s="39">
        <f t="shared" si="71"/>
        <v>0</v>
      </c>
      <c r="S185" s="39">
        <f t="shared" si="71"/>
        <v>30000</v>
      </c>
      <c r="T185" s="39">
        <f t="shared" si="71"/>
        <v>0</v>
      </c>
      <c r="U185" s="24">
        <f t="shared" si="69"/>
        <v>30000</v>
      </c>
      <c r="V185" s="21">
        <f t="shared" si="67"/>
        <v>30000</v>
      </c>
    </row>
    <row r="186" spans="1:22" ht="25.5">
      <c r="A186" s="5" t="s">
        <v>42</v>
      </c>
      <c r="B186" s="72" t="s">
        <v>71</v>
      </c>
      <c r="C186" s="164" t="s">
        <v>24</v>
      </c>
      <c r="D186" s="162">
        <v>6440110210</v>
      </c>
      <c r="E186" s="162">
        <v>244</v>
      </c>
      <c r="F186" s="162">
        <v>225</v>
      </c>
      <c r="G186" s="44"/>
      <c r="H186" s="78">
        <v>30000</v>
      </c>
      <c r="I186" s="78">
        <v>0</v>
      </c>
      <c r="J186" s="78">
        <v>0</v>
      </c>
      <c r="K186" s="78">
        <v>0</v>
      </c>
      <c r="L186" s="78">
        <v>0</v>
      </c>
      <c r="M186" s="78">
        <v>0</v>
      </c>
      <c r="N186" s="78">
        <v>0</v>
      </c>
      <c r="O186" s="78">
        <v>0</v>
      </c>
      <c r="P186" s="78">
        <v>0</v>
      </c>
      <c r="Q186" s="78">
        <v>0</v>
      </c>
      <c r="R186" s="78">
        <v>0</v>
      </c>
      <c r="S186" s="78">
        <v>30000</v>
      </c>
      <c r="T186" s="78">
        <v>0</v>
      </c>
      <c r="U186" s="24">
        <f t="shared" si="69"/>
        <v>30000</v>
      </c>
      <c r="V186" s="21">
        <f t="shared" si="67"/>
        <v>30000</v>
      </c>
    </row>
    <row r="187" spans="1:22" ht="15.75" customHeight="1">
      <c r="A187" s="42"/>
      <c r="B187" s="66"/>
      <c r="C187" s="123"/>
      <c r="D187" s="123"/>
      <c r="E187" s="123"/>
      <c r="F187" s="123"/>
      <c r="G187" s="44"/>
      <c r="H187" s="81"/>
      <c r="I187" s="81"/>
      <c r="J187" s="81"/>
      <c r="K187" s="81"/>
      <c r="L187" s="81"/>
      <c r="M187" s="81"/>
      <c r="N187" s="81"/>
      <c r="O187" s="81"/>
      <c r="P187" s="81"/>
      <c r="Q187" s="81"/>
      <c r="R187" s="81"/>
      <c r="S187" s="81"/>
      <c r="T187" s="81"/>
      <c r="U187" s="24">
        <f t="shared" si="69"/>
        <v>0</v>
      </c>
      <c r="V187" s="21">
        <f t="shared" si="67"/>
        <v>0</v>
      </c>
    </row>
    <row r="188" spans="1:22" ht="165" customHeight="1">
      <c r="A188" s="5" t="s">
        <v>42</v>
      </c>
      <c r="B188" s="35" t="s">
        <v>170</v>
      </c>
      <c r="C188" s="148" t="s">
        <v>24</v>
      </c>
      <c r="D188" s="161">
        <v>6450000000</v>
      </c>
      <c r="E188" s="161"/>
      <c r="F188" s="161"/>
      <c r="G188" s="37"/>
      <c r="H188" s="39">
        <f aca="true" t="shared" si="72" ref="H188:T188">H189</f>
        <v>12337400</v>
      </c>
      <c r="I188" s="39">
        <f t="shared" si="72"/>
        <v>0</v>
      </c>
      <c r="J188" s="39">
        <f t="shared" si="72"/>
        <v>0</v>
      </c>
      <c r="K188" s="39">
        <f t="shared" si="72"/>
        <v>0</v>
      </c>
      <c r="L188" s="39">
        <f t="shared" si="72"/>
        <v>0</v>
      </c>
      <c r="M188" s="39">
        <f t="shared" si="72"/>
        <v>0</v>
      </c>
      <c r="N188" s="39">
        <f t="shared" si="72"/>
        <v>0</v>
      </c>
      <c r="O188" s="39">
        <f t="shared" si="72"/>
        <v>0</v>
      </c>
      <c r="P188" s="39">
        <f t="shared" si="72"/>
        <v>0</v>
      </c>
      <c r="Q188" s="39">
        <f t="shared" si="72"/>
        <v>0</v>
      </c>
      <c r="R188" s="39">
        <f t="shared" si="72"/>
        <v>0</v>
      </c>
      <c r="S188" s="39">
        <f t="shared" si="72"/>
        <v>12337400</v>
      </c>
      <c r="T188" s="39">
        <f t="shared" si="72"/>
        <v>0</v>
      </c>
      <c r="U188" s="24">
        <f t="shared" si="69"/>
        <v>12337400</v>
      </c>
      <c r="V188" s="21">
        <f t="shared" si="67"/>
        <v>12337400</v>
      </c>
    </row>
    <row r="189" spans="1:22" ht="12.75">
      <c r="A189" s="5" t="s">
        <v>42</v>
      </c>
      <c r="B189" s="47" t="s">
        <v>15</v>
      </c>
      <c r="C189" s="164" t="s">
        <v>24</v>
      </c>
      <c r="D189" s="50" t="s">
        <v>169</v>
      </c>
      <c r="E189" s="162">
        <v>414</v>
      </c>
      <c r="F189" s="162">
        <v>226</v>
      </c>
      <c r="G189" s="44"/>
      <c r="H189" s="78">
        <f>863600+100+11473700</f>
        <v>12337400</v>
      </c>
      <c r="I189" s="78">
        <v>0</v>
      </c>
      <c r="J189" s="78">
        <v>0</v>
      </c>
      <c r="K189" s="78">
        <v>0</v>
      </c>
      <c r="L189" s="78">
        <v>0</v>
      </c>
      <c r="M189" s="78">
        <v>0</v>
      </c>
      <c r="N189" s="78">
        <v>0</v>
      </c>
      <c r="O189" s="78">
        <v>0</v>
      </c>
      <c r="P189" s="78">
        <v>0</v>
      </c>
      <c r="Q189" s="78">
        <v>0</v>
      </c>
      <c r="R189" s="78">
        <v>0</v>
      </c>
      <c r="S189" s="78">
        <v>12337400</v>
      </c>
      <c r="T189" s="78">
        <v>0</v>
      </c>
      <c r="U189" s="24">
        <f t="shared" si="69"/>
        <v>12337400</v>
      </c>
      <c r="V189" s="21">
        <f t="shared" si="67"/>
        <v>12337400</v>
      </c>
    </row>
    <row r="190" spans="1:22" ht="12.75">
      <c r="A190" s="42"/>
      <c r="B190" s="66"/>
      <c r="C190" s="123"/>
      <c r="D190" s="123"/>
      <c r="E190" s="123"/>
      <c r="F190" s="123"/>
      <c r="G190" s="44"/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24"/>
      <c r="V190" s="21">
        <f t="shared" si="67"/>
        <v>0</v>
      </c>
    </row>
    <row r="191" spans="1:22" ht="76.5">
      <c r="A191" s="5" t="s">
        <v>42</v>
      </c>
      <c r="B191" s="35" t="s">
        <v>143</v>
      </c>
      <c r="C191" s="148" t="s">
        <v>24</v>
      </c>
      <c r="D191" s="161">
        <v>6460000000</v>
      </c>
      <c r="E191" s="161"/>
      <c r="F191" s="161"/>
      <c r="G191" s="37"/>
      <c r="H191" s="39">
        <f aca="true" t="shared" si="73" ref="H191:T191">H192+H193</f>
        <v>164590.73</v>
      </c>
      <c r="I191" s="39">
        <f t="shared" si="73"/>
        <v>0</v>
      </c>
      <c r="J191" s="39">
        <f t="shared" si="73"/>
        <v>0</v>
      </c>
      <c r="K191" s="39">
        <f t="shared" si="73"/>
        <v>0</v>
      </c>
      <c r="L191" s="39">
        <f t="shared" si="73"/>
        <v>0</v>
      </c>
      <c r="M191" s="39">
        <f t="shared" si="73"/>
        <v>50000</v>
      </c>
      <c r="N191" s="39">
        <f t="shared" si="73"/>
        <v>0</v>
      </c>
      <c r="O191" s="39">
        <f t="shared" si="73"/>
        <v>0</v>
      </c>
      <c r="P191" s="39">
        <f t="shared" si="73"/>
        <v>0</v>
      </c>
      <c r="Q191" s="39">
        <f t="shared" si="73"/>
        <v>0</v>
      </c>
      <c r="R191" s="39">
        <f t="shared" si="73"/>
        <v>50000</v>
      </c>
      <c r="S191" s="39">
        <f t="shared" si="73"/>
        <v>50000</v>
      </c>
      <c r="T191" s="39">
        <f t="shared" si="73"/>
        <v>14590.73</v>
      </c>
      <c r="U191" s="24">
        <f>I191+J191+K191+L191+M191+N191+O191+P191+Q191+R191+S191+T191</f>
        <v>164590.73</v>
      </c>
      <c r="V191" s="21">
        <f t="shared" si="67"/>
        <v>164590.73</v>
      </c>
    </row>
    <row r="192" spans="1:22" ht="12.75">
      <c r="A192" s="5" t="s">
        <v>42</v>
      </c>
      <c r="B192" s="47" t="s">
        <v>15</v>
      </c>
      <c r="C192" s="164" t="s">
        <v>24</v>
      </c>
      <c r="D192" s="162">
        <v>6460110230</v>
      </c>
      <c r="E192" s="162">
        <v>414</v>
      </c>
      <c r="F192" s="162">
        <v>226</v>
      </c>
      <c r="G192" s="44"/>
      <c r="H192" s="78">
        <f>150000</f>
        <v>150000</v>
      </c>
      <c r="I192" s="78">
        <v>0</v>
      </c>
      <c r="J192" s="78">
        <v>0</v>
      </c>
      <c r="K192" s="78">
        <v>0</v>
      </c>
      <c r="L192" s="78">
        <v>0</v>
      </c>
      <c r="M192" s="78">
        <v>50000</v>
      </c>
      <c r="N192" s="78">
        <v>0</v>
      </c>
      <c r="O192" s="78">
        <v>0</v>
      </c>
      <c r="P192" s="78">
        <v>0</v>
      </c>
      <c r="Q192" s="78">
        <v>0</v>
      </c>
      <c r="R192" s="78">
        <v>50000</v>
      </c>
      <c r="S192" s="78">
        <v>50000</v>
      </c>
      <c r="T192" s="78">
        <v>0</v>
      </c>
      <c r="U192" s="24">
        <f>I192+J192+K192+L192+M192+N192+O192+P192+Q192+R192+S192+T192</f>
        <v>150000</v>
      </c>
      <c r="V192" s="21">
        <f t="shared" si="67"/>
        <v>150000</v>
      </c>
    </row>
    <row r="193" spans="1:22" ht="12.75">
      <c r="A193" s="42"/>
      <c r="B193" s="66"/>
      <c r="C193" s="123"/>
      <c r="D193" s="123"/>
      <c r="E193" s="50">
        <v>244</v>
      </c>
      <c r="F193" s="50">
        <v>226</v>
      </c>
      <c r="G193" s="50"/>
      <c r="H193" s="78">
        <f>14590.73</f>
        <v>14590.73</v>
      </c>
      <c r="I193" s="78">
        <v>0</v>
      </c>
      <c r="J193" s="78">
        <v>0</v>
      </c>
      <c r="K193" s="78">
        <v>0</v>
      </c>
      <c r="L193" s="78">
        <v>0</v>
      </c>
      <c r="M193" s="78">
        <v>0</v>
      </c>
      <c r="N193" s="78">
        <v>0</v>
      </c>
      <c r="O193" s="78">
        <v>0</v>
      </c>
      <c r="P193" s="78">
        <v>0</v>
      </c>
      <c r="Q193" s="78">
        <v>0</v>
      </c>
      <c r="R193" s="78">
        <v>0</v>
      </c>
      <c r="S193" s="78">
        <v>0</v>
      </c>
      <c r="T193" s="78">
        <v>14590.73</v>
      </c>
      <c r="U193" s="24"/>
      <c r="V193" s="21">
        <f t="shared" si="67"/>
        <v>14590.73</v>
      </c>
    </row>
    <row r="194" spans="1:22" ht="12.75">
      <c r="A194" s="42"/>
      <c r="B194" s="29" t="s">
        <v>53</v>
      </c>
      <c r="C194" s="180" t="s">
        <v>24</v>
      </c>
      <c r="D194" s="123"/>
      <c r="E194" s="123"/>
      <c r="F194" s="123"/>
      <c r="G194" s="44"/>
      <c r="H194" s="74">
        <f aca="true" t="shared" si="74" ref="H194:T194">H173</f>
        <v>12699090.73</v>
      </c>
      <c r="I194" s="75">
        <f t="shared" si="74"/>
        <v>7616.33</v>
      </c>
      <c r="J194" s="75">
        <f t="shared" si="74"/>
        <v>0</v>
      </c>
      <c r="K194" s="75">
        <f t="shared" si="74"/>
        <v>0</v>
      </c>
      <c r="L194" s="75">
        <f t="shared" si="74"/>
        <v>6400</v>
      </c>
      <c r="M194" s="75">
        <f t="shared" si="74"/>
        <v>56400</v>
      </c>
      <c r="N194" s="75">
        <f t="shared" si="74"/>
        <v>36583.67</v>
      </c>
      <c r="O194" s="75">
        <f t="shared" si="74"/>
        <v>22800</v>
      </c>
      <c r="P194" s="75">
        <f t="shared" si="74"/>
        <v>6400</v>
      </c>
      <c r="Q194" s="75">
        <f t="shared" si="74"/>
        <v>6400</v>
      </c>
      <c r="R194" s="75">
        <f t="shared" si="74"/>
        <v>56400</v>
      </c>
      <c r="S194" s="75">
        <f t="shared" si="74"/>
        <v>12478800</v>
      </c>
      <c r="T194" s="75">
        <f t="shared" si="74"/>
        <v>21290.73</v>
      </c>
      <c r="U194" s="24">
        <f>I194+J194+K194+L194+M194+N194+O194+P194+Q194+R194+S194+T194</f>
        <v>12699090.73</v>
      </c>
      <c r="V194" s="21">
        <f t="shared" si="67"/>
        <v>12699090.73</v>
      </c>
    </row>
    <row r="195" spans="1:22" ht="12.75">
      <c r="A195" s="42"/>
      <c r="B195" s="66"/>
      <c r="C195" s="123"/>
      <c r="D195" s="123"/>
      <c r="E195" s="123"/>
      <c r="F195" s="123"/>
      <c r="G195" s="44"/>
      <c r="H195" s="81"/>
      <c r="I195" s="81"/>
      <c r="J195" s="81"/>
      <c r="K195" s="81"/>
      <c r="L195" s="81"/>
      <c r="M195" s="81"/>
      <c r="N195" s="81"/>
      <c r="O195" s="81"/>
      <c r="P195" s="81"/>
      <c r="Q195" s="81"/>
      <c r="R195" s="81"/>
      <c r="S195" s="81"/>
      <c r="T195" s="81"/>
      <c r="U195" s="24"/>
      <c r="V195" s="21">
        <f t="shared" si="67"/>
        <v>0</v>
      </c>
    </row>
    <row r="196" spans="1:22" ht="83.25" customHeight="1">
      <c r="A196" s="5" t="s">
        <v>42</v>
      </c>
      <c r="B196" s="35" t="s">
        <v>138</v>
      </c>
      <c r="C196" s="148" t="s">
        <v>25</v>
      </c>
      <c r="D196" s="161">
        <v>6400000000</v>
      </c>
      <c r="E196" s="117"/>
      <c r="F196" s="117"/>
      <c r="G196" s="37"/>
      <c r="H196" s="39">
        <f aca="true" t="shared" si="75" ref="H196:T196">H198+H204</f>
        <v>1475500</v>
      </c>
      <c r="I196" s="39">
        <f t="shared" si="75"/>
        <v>7700</v>
      </c>
      <c r="J196" s="39">
        <f t="shared" si="75"/>
        <v>162100</v>
      </c>
      <c r="K196" s="39">
        <f t="shared" si="75"/>
        <v>50000</v>
      </c>
      <c r="L196" s="39">
        <f t="shared" si="75"/>
        <v>139000</v>
      </c>
      <c r="M196" s="39">
        <f t="shared" si="75"/>
        <v>80000</v>
      </c>
      <c r="N196" s="39">
        <f t="shared" si="75"/>
        <v>81250</v>
      </c>
      <c r="O196" s="39">
        <f t="shared" si="75"/>
        <v>95000</v>
      </c>
      <c r="P196" s="39">
        <f t="shared" si="75"/>
        <v>170550</v>
      </c>
      <c r="Q196" s="39">
        <f t="shared" si="75"/>
        <v>102300</v>
      </c>
      <c r="R196" s="39">
        <f t="shared" si="75"/>
        <v>200000</v>
      </c>
      <c r="S196" s="39">
        <f t="shared" si="75"/>
        <v>150000</v>
      </c>
      <c r="T196" s="39">
        <f t="shared" si="75"/>
        <v>237600</v>
      </c>
      <c r="U196" s="24">
        <f>I196+J196+K196+L196+M196+N196+O196+P196+Q196+R196+S196+T196</f>
        <v>1475500</v>
      </c>
      <c r="V196" s="21">
        <f t="shared" si="67"/>
        <v>1475500</v>
      </c>
    </row>
    <row r="197" spans="1:22" ht="12.75">
      <c r="A197" s="42"/>
      <c r="B197" s="66"/>
      <c r="C197" s="123"/>
      <c r="D197" s="123"/>
      <c r="E197" s="123"/>
      <c r="F197" s="123"/>
      <c r="G197" s="44"/>
      <c r="H197" s="81"/>
      <c r="I197" s="81"/>
      <c r="J197" s="81"/>
      <c r="K197" s="81"/>
      <c r="L197" s="81"/>
      <c r="M197" s="81"/>
      <c r="N197" s="81"/>
      <c r="O197" s="81"/>
      <c r="P197" s="81"/>
      <c r="Q197" s="81"/>
      <c r="R197" s="81"/>
      <c r="S197" s="81"/>
      <c r="T197" s="81"/>
      <c r="U197" s="24"/>
      <c r="V197" s="21">
        <f t="shared" si="67"/>
        <v>0</v>
      </c>
    </row>
    <row r="198" spans="1:22" ht="75" customHeight="1">
      <c r="A198" s="5" t="s">
        <v>42</v>
      </c>
      <c r="B198" s="35" t="s">
        <v>144</v>
      </c>
      <c r="C198" s="148" t="s">
        <v>25</v>
      </c>
      <c r="D198" s="161">
        <v>6470000000</v>
      </c>
      <c r="E198" s="161"/>
      <c r="F198" s="161"/>
      <c r="G198" s="37"/>
      <c r="H198" s="39">
        <f aca="true" t="shared" si="76" ref="H198:T198">H199+H200+H201+H202</f>
        <v>1275500</v>
      </c>
      <c r="I198" s="39">
        <f t="shared" si="76"/>
        <v>7700</v>
      </c>
      <c r="J198" s="39">
        <f t="shared" si="76"/>
        <v>49700</v>
      </c>
      <c r="K198" s="39">
        <f t="shared" si="76"/>
        <v>50000</v>
      </c>
      <c r="L198" s="39">
        <f t="shared" si="76"/>
        <v>89000</v>
      </c>
      <c r="M198" s="39">
        <f t="shared" si="76"/>
        <v>80000</v>
      </c>
      <c r="N198" s="39">
        <f t="shared" si="76"/>
        <v>81250</v>
      </c>
      <c r="O198" s="39">
        <f t="shared" si="76"/>
        <v>95000</v>
      </c>
      <c r="P198" s="39">
        <f t="shared" si="76"/>
        <v>170550</v>
      </c>
      <c r="Q198" s="39">
        <f t="shared" si="76"/>
        <v>102300</v>
      </c>
      <c r="R198" s="39">
        <f t="shared" si="76"/>
        <v>200000</v>
      </c>
      <c r="S198" s="39">
        <f t="shared" si="76"/>
        <v>150000</v>
      </c>
      <c r="T198" s="39">
        <f t="shared" si="76"/>
        <v>200000</v>
      </c>
      <c r="U198" s="24">
        <f aca="true" t="shared" si="77" ref="U198:U223">I198+J198+K198+L198+M198+N198+O198+P198+Q198+R198+S198+T198</f>
        <v>1275500</v>
      </c>
      <c r="V198" s="21">
        <f t="shared" si="67"/>
        <v>1275500</v>
      </c>
    </row>
    <row r="199" spans="1:22" ht="25.5">
      <c r="A199" s="5" t="s">
        <v>42</v>
      </c>
      <c r="B199" s="72" t="s">
        <v>71</v>
      </c>
      <c r="C199" s="164" t="s">
        <v>25</v>
      </c>
      <c r="D199" s="162">
        <v>6470110240</v>
      </c>
      <c r="E199" s="162">
        <v>244</v>
      </c>
      <c r="F199" s="162">
        <v>225</v>
      </c>
      <c r="G199" s="44"/>
      <c r="H199" s="52">
        <f>1305500-30000</f>
        <v>1275500</v>
      </c>
      <c r="I199" s="78">
        <f>0+7700</f>
        <v>7700</v>
      </c>
      <c r="J199" s="78">
        <v>49700</v>
      </c>
      <c r="K199" s="78">
        <f>80000-30000</f>
        <v>50000</v>
      </c>
      <c r="L199" s="78">
        <v>89000</v>
      </c>
      <c r="M199" s="78">
        <v>80000</v>
      </c>
      <c r="N199" s="78">
        <v>81250</v>
      </c>
      <c r="O199" s="78">
        <v>95000</v>
      </c>
      <c r="P199" s="78">
        <f>125000-45550+91100</f>
        <v>170550</v>
      </c>
      <c r="Q199" s="78">
        <f>110000-7700</f>
        <v>102300</v>
      </c>
      <c r="R199" s="78">
        <v>200000</v>
      </c>
      <c r="S199" s="78">
        <v>150000</v>
      </c>
      <c r="T199" s="78">
        <v>200000</v>
      </c>
      <c r="U199" s="24">
        <f t="shared" si="77"/>
        <v>1275500</v>
      </c>
      <c r="V199" s="21">
        <f t="shared" si="67"/>
        <v>1275500</v>
      </c>
    </row>
    <row r="200" spans="1:22" ht="12.75" hidden="1">
      <c r="A200" s="5"/>
      <c r="B200" s="72"/>
      <c r="C200" s="128" t="s">
        <v>25</v>
      </c>
      <c r="D200" s="127">
        <v>6470160020</v>
      </c>
      <c r="E200" s="127">
        <v>244</v>
      </c>
      <c r="F200" s="127">
        <v>225</v>
      </c>
      <c r="G200" s="44"/>
      <c r="H200" s="52">
        <v>0</v>
      </c>
      <c r="I200" s="78">
        <v>0</v>
      </c>
      <c r="J200" s="78">
        <v>0</v>
      </c>
      <c r="K200" s="78">
        <v>0</v>
      </c>
      <c r="L200" s="78">
        <v>0</v>
      </c>
      <c r="M200" s="78">
        <v>0</v>
      </c>
      <c r="N200" s="78">
        <v>0</v>
      </c>
      <c r="O200" s="78">
        <v>0</v>
      </c>
      <c r="P200" s="78">
        <v>0</v>
      </c>
      <c r="Q200" s="78">
        <v>0</v>
      </c>
      <c r="R200" s="78">
        <v>0</v>
      </c>
      <c r="S200" s="78">
        <v>0</v>
      </c>
      <c r="T200" s="78">
        <v>0</v>
      </c>
      <c r="U200" s="24">
        <f t="shared" si="77"/>
        <v>0</v>
      </c>
      <c r="V200" s="21">
        <f t="shared" si="67"/>
        <v>0</v>
      </c>
    </row>
    <row r="201" spans="1:22" ht="12.75" hidden="1">
      <c r="A201" s="5"/>
      <c r="B201" s="72"/>
      <c r="C201" s="128" t="s">
        <v>25</v>
      </c>
      <c r="D201" s="127">
        <v>6470160050</v>
      </c>
      <c r="E201" s="127">
        <v>244</v>
      </c>
      <c r="F201" s="127">
        <v>225</v>
      </c>
      <c r="G201" s="44"/>
      <c r="H201" s="52">
        <v>0</v>
      </c>
      <c r="I201" s="78">
        <v>0</v>
      </c>
      <c r="J201" s="78">
        <v>0</v>
      </c>
      <c r="K201" s="78">
        <v>0</v>
      </c>
      <c r="L201" s="78">
        <v>0</v>
      </c>
      <c r="M201" s="78">
        <v>0</v>
      </c>
      <c r="N201" s="78">
        <v>0</v>
      </c>
      <c r="O201" s="78">
        <v>0</v>
      </c>
      <c r="P201" s="78">
        <v>0</v>
      </c>
      <c r="Q201" s="78">
        <v>0</v>
      </c>
      <c r="R201" s="78">
        <v>0</v>
      </c>
      <c r="S201" s="78">
        <v>0</v>
      </c>
      <c r="T201" s="78">
        <v>0</v>
      </c>
      <c r="U201" s="24">
        <f t="shared" si="77"/>
        <v>0</v>
      </c>
      <c r="V201" s="21">
        <f t="shared" si="67"/>
        <v>0</v>
      </c>
    </row>
    <row r="202" spans="1:22" ht="12.75" hidden="1">
      <c r="A202" s="5"/>
      <c r="B202" s="72"/>
      <c r="C202" s="128" t="s">
        <v>25</v>
      </c>
      <c r="D202" s="127">
        <v>6470160170</v>
      </c>
      <c r="E202" s="127">
        <v>244</v>
      </c>
      <c r="F202" s="127">
        <v>225</v>
      </c>
      <c r="G202" s="44"/>
      <c r="H202" s="52">
        <v>0</v>
      </c>
      <c r="I202" s="78">
        <v>0</v>
      </c>
      <c r="J202" s="78">
        <v>0</v>
      </c>
      <c r="K202" s="78">
        <v>0</v>
      </c>
      <c r="L202" s="78">
        <v>0</v>
      </c>
      <c r="M202" s="78">
        <v>0</v>
      </c>
      <c r="N202" s="78">
        <v>0</v>
      </c>
      <c r="O202" s="78">
        <v>0</v>
      </c>
      <c r="P202" s="78">
        <v>0</v>
      </c>
      <c r="Q202" s="78">
        <v>0</v>
      </c>
      <c r="R202" s="78">
        <v>0</v>
      </c>
      <c r="S202" s="78">
        <v>0</v>
      </c>
      <c r="T202" s="78">
        <v>0</v>
      </c>
      <c r="U202" s="24">
        <f t="shared" si="77"/>
        <v>0</v>
      </c>
      <c r="V202" s="21">
        <f t="shared" si="67"/>
        <v>0</v>
      </c>
    </row>
    <row r="203" spans="1:22" ht="12.75">
      <c r="A203" s="5"/>
      <c r="B203" s="72"/>
      <c r="C203" s="128"/>
      <c r="D203" s="127"/>
      <c r="E203" s="127"/>
      <c r="F203" s="127"/>
      <c r="G203" s="44"/>
      <c r="H203" s="52"/>
      <c r="I203" s="78"/>
      <c r="J203" s="78"/>
      <c r="K203" s="78"/>
      <c r="L203" s="78"/>
      <c r="M203" s="78"/>
      <c r="N203" s="78"/>
      <c r="O203" s="78"/>
      <c r="P203" s="78"/>
      <c r="Q203" s="78"/>
      <c r="R203" s="78"/>
      <c r="S203" s="78"/>
      <c r="T203" s="78"/>
      <c r="U203" s="24">
        <f t="shared" si="77"/>
        <v>0</v>
      </c>
      <c r="V203" s="21">
        <f t="shared" si="67"/>
        <v>0</v>
      </c>
    </row>
    <row r="204" spans="1:22" ht="80.25" customHeight="1">
      <c r="A204" s="5" t="s">
        <v>42</v>
      </c>
      <c r="B204" s="35" t="s">
        <v>145</v>
      </c>
      <c r="C204" s="148" t="s">
        <v>25</v>
      </c>
      <c r="D204" s="161">
        <v>6480110350</v>
      </c>
      <c r="E204" s="161"/>
      <c r="F204" s="161"/>
      <c r="G204" s="37"/>
      <c r="H204" s="39">
        <f aca="true" t="shared" si="78" ref="H204:T204">H205</f>
        <v>200000</v>
      </c>
      <c r="I204" s="39">
        <f t="shared" si="78"/>
        <v>0</v>
      </c>
      <c r="J204" s="39">
        <f t="shared" si="78"/>
        <v>112400</v>
      </c>
      <c r="K204" s="39">
        <f t="shared" si="78"/>
        <v>0</v>
      </c>
      <c r="L204" s="39">
        <f t="shared" si="78"/>
        <v>50000</v>
      </c>
      <c r="M204" s="39">
        <f t="shared" si="78"/>
        <v>0</v>
      </c>
      <c r="N204" s="39">
        <f t="shared" si="78"/>
        <v>0</v>
      </c>
      <c r="O204" s="39">
        <f t="shared" si="78"/>
        <v>0</v>
      </c>
      <c r="P204" s="39">
        <f t="shared" si="78"/>
        <v>0</v>
      </c>
      <c r="Q204" s="39">
        <f t="shared" si="78"/>
        <v>0</v>
      </c>
      <c r="R204" s="39">
        <f t="shared" si="78"/>
        <v>0</v>
      </c>
      <c r="S204" s="39">
        <f t="shared" si="78"/>
        <v>0</v>
      </c>
      <c r="T204" s="39">
        <f t="shared" si="78"/>
        <v>37600</v>
      </c>
      <c r="U204" s="24">
        <f t="shared" si="77"/>
        <v>200000</v>
      </c>
      <c r="V204" s="21">
        <f t="shared" si="67"/>
        <v>200000</v>
      </c>
    </row>
    <row r="205" spans="1:22" ht="16.5" customHeight="1">
      <c r="A205" s="5" t="s">
        <v>42</v>
      </c>
      <c r="B205" s="47" t="s">
        <v>15</v>
      </c>
      <c r="C205" s="164" t="s">
        <v>25</v>
      </c>
      <c r="D205" s="162">
        <v>6480110350</v>
      </c>
      <c r="E205" s="162">
        <v>244</v>
      </c>
      <c r="F205" s="162">
        <v>225</v>
      </c>
      <c r="G205" s="44"/>
      <c r="H205" s="78">
        <f>300000-100000</f>
        <v>200000</v>
      </c>
      <c r="I205" s="78">
        <v>0</v>
      </c>
      <c r="J205" s="78">
        <f>0+112400</f>
        <v>112400</v>
      </c>
      <c r="K205" s="78">
        <v>0</v>
      </c>
      <c r="L205" s="78">
        <v>50000</v>
      </c>
      <c r="M205" s="78">
        <v>0</v>
      </c>
      <c r="N205" s="78">
        <v>0</v>
      </c>
      <c r="O205" s="78">
        <v>0</v>
      </c>
      <c r="P205" s="78">
        <v>0</v>
      </c>
      <c r="Q205" s="78">
        <v>0</v>
      </c>
      <c r="R205" s="78">
        <v>0</v>
      </c>
      <c r="S205" s="78">
        <v>0</v>
      </c>
      <c r="T205" s="78">
        <f>150000-100000-12400</f>
        <v>37600</v>
      </c>
      <c r="U205" s="24">
        <f t="shared" si="77"/>
        <v>200000</v>
      </c>
      <c r="V205" s="21">
        <f t="shared" si="67"/>
        <v>200000</v>
      </c>
    </row>
    <row r="206" spans="1:22" ht="12.75">
      <c r="A206" s="5"/>
      <c r="B206" s="68"/>
      <c r="C206" s="128"/>
      <c r="D206" s="127"/>
      <c r="E206" s="127"/>
      <c r="F206" s="127"/>
      <c r="G206" s="44"/>
      <c r="H206" s="78"/>
      <c r="I206" s="78"/>
      <c r="J206" s="78"/>
      <c r="K206" s="78"/>
      <c r="L206" s="78"/>
      <c r="M206" s="78"/>
      <c r="N206" s="78"/>
      <c r="O206" s="78"/>
      <c r="P206" s="78"/>
      <c r="Q206" s="78"/>
      <c r="R206" s="78"/>
      <c r="S206" s="78"/>
      <c r="T206" s="78"/>
      <c r="U206" s="24">
        <f t="shared" si="77"/>
        <v>0</v>
      </c>
      <c r="V206" s="21">
        <f t="shared" si="67"/>
        <v>0</v>
      </c>
    </row>
    <row r="207" spans="1:22" ht="81" customHeight="1">
      <c r="A207" s="42" t="s">
        <v>42</v>
      </c>
      <c r="B207" s="35" t="s">
        <v>146</v>
      </c>
      <c r="C207" s="148" t="s">
        <v>25</v>
      </c>
      <c r="D207" s="161">
        <v>6700110360</v>
      </c>
      <c r="E207" s="161"/>
      <c r="F207" s="161"/>
      <c r="G207" s="37"/>
      <c r="H207" s="39">
        <f aca="true" t="shared" si="79" ref="H207:T207">H208</f>
        <v>30000</v>
      </c>
      <c r="I207" s="39">
        <f t="shared" si="79"/>
        <v>0</v>
      </c>
      <c r="J207" s="39">
        <f t="shared" si="79"/>
        <v>0</v>
      </c>
      <c r="K207" s="39">
        <f t="shared" si="79"/>
        <v>0</v>
      </c>
      <c r="L207" s="39">
        <f t="shared" si="79"/>
        <v>0</v>
      </c>
      <c r="M207" s="39">
        <f t="shared" si="79"/>
        <v>0</v>
      </c>
      <c r="N207" s="39">
        <f t="shared" si="79"/>
        <v>0</v>
      </c>
      <c r="O207" s="39">
        <f t="shared" si="79"/>
        <v>0</v>
      </c>
      <c r="P207" s="39">
        <f t="shared" si="79"/>
        <v>0</v>
      </c>
      <c r="Q207" s="39">
        <f t="shared" si="79"/>
        <v>0</v>
      </c>
      <c r="R207" s="39">
        <f t="shared" si="79"/>
        <v>0</v>
      </c>
      <c r="S207" s="39">
        <f t="shared" si="79"/>
        <v>0</v>
      </c>
      <c r="T207" s="39">
        <f t="shared" si="79"/>
        <v>30000</v>
      </c>
      <c r="U207" s="24">
        <f t="shared" si="77"/>
        <v>30000</v>
      </c>
      <c r="V207" s="21">
        <f t="shared" si="67"/>
        <v>30000</v>
      </c>
    </row>
    <row r="208" spans="1:22" ht="12.75">
      <c r="A208" s="5" t="s">
        <v>42</v>
      </c>
      <c r="B208" s="47" t="s">
        <v>15</v>
      </c>
      <c r="C208" s="164" t="s">
        <v>25</v>
      </c>
      <c r="D208" s="162">
        <v>6700110360</v>
      </c>
      <c r="E208" s="162">
        <v>244</v>
      </c>
      <c r="F208" s="162">
        <v>226</v>
      </c>
      <c r="G208" s="44"/>
      <c r="H208" s="78">
        <v>30000</v>
      </c>
      <c r="I208" s="78">
        <v>0</v>
      </c>
      <c r="J208" s="78">
        <v>0</v>
      </c>
      <c r="K208" s="78">
        <v>0</v>
      </c>
      <c r="L208" s="78">
        <v>0</v>
      </c>
      <c r="M208" s="78">
        <v>0</v>
      </c>
      <c r="N208" s="78">
        <v>0</v>
      </c>
      <c r="O208" s="78">
        <v>0</v>
      </c>
      <c r="P208" s="78">
        <v>0</v>
      </c>
      <c r="Q208" s="78">
        <v>0</v>
      </c>
      <c r="R208" s="78">
        <v>0</v>
      </c>
      <c r="S208" s="78">
        <v>0</v>
      </c>
      <c r="T208" s="78">
        <v>30000</v>
      </c>
      <c r="U208" s="24">
        <f t="shared" si="77"/>
        <v>30000</v>
      </c>
      <c r="V208" s="21">
        <f t="shared" si="67"/>
        <v>30000</v>
      </c>
    </row>
    <row r="209" spans="1:22" ht="12.75">
      <c r="A209" s="5"/>
      <c r="B209" s="68"/>
      <c r="C209" s="128"/>
      <c r="D209" s="127"/>
      <c r="E209" s="127"/>
      <c r="F209" s="127"/>
      <c r="G209" s="44"/>
      <c r="H209" s="78"/>
      <c r="I209" s="78"/>
      <c r="J209" s="78"/>
      <c r="K209" s="78"/>
      <c r="L209" s="78"/>
      <c r="M209" s="78"/>
      <c r="N209" s="78"/>
      <c r="O209" s="78"/>
      <c r="P209" s="78"/>
      <c r="Q209" s="78"/>
      <c r="R209" s="78"/>
      <c r="S209" s="78"/>
      <c r="T209" s="78"/>
      <c r="U209" s="24">
        <f t="shared" si="77"/>
        <v>0</v>
      </c>
      <c r="V209" s="21">
        <f aca="true" t="shared" si="80" ref="V209:V240">SUM(I209:T209)</f>
        <v>0</v>
      </c>
    </row>
    <row r="210" spans="1:22" ht="76.5">
      <c r="A210" s="5"/>
      <c r="B210" s="108" t="s">
        <v>107</v>
      </c>
      <c r="C210" s="148" t="s">
        <v>25</v>
      </c>
      <c r="D210" s="161">
        <v>6800110370</v>
      </c>
      <c r="E210" s="160"/>
      <c r="F210" s="160"/>
      <c r="G210" s="37"/>
      <c r="H210" s="39">
        <f aca="true" t="shared" si="81" ref="H210:T210">H211</f>
        <v>135000</v>
      </c>
      <c r="I210" s="39">
        <f t="shared" si="81"/>
        <v>0</v>
      </c>
      <c r="J210" s="39">
        <f t="shared" si="81"/>
        <v>134159.55</v>
      </c>
      <c r="K210" s="39">
        <f t="shared" si="81"/>
        <v>0</v>
      </c>
      <c r="L210" s="39">
        <f t="shared" si="81"/>
        <v>0</v>
      </c>
      <c r="M210" s="39">
        <f t="shared" si="81"/>
        <v>0</v>
      </c>
      <c r="N210" s="39">
        <f t="shared" si="81"/>
        <v>0</v>
      </c>
      <c r="O210" s="39">
        <f t="shared" si="81"/>
        <v>0</v>
      </c>
      <c r="P210" s="39">
        <f t="shared" si="81"/>
        <v>0</v>
      </c>
      <c r="Q210" s="39">
        <f t="shared" si="81"/>
        <v>0</v>
      </c>
      <c r="R210" s="39">
        <f t="shared" si="81"/>
        <v>0</v>
      </c>
      <c r="S210" s="39">
        <f t="shared" si="81"/>
        <v>0</v>
      </c>
      <c r="T210" s="39">
        <f t="shared" si="81"/>
        <v>840.45</v>
      </c>
      <c r="U210" s="24">
        <f t="shared" si="77"/>
        <v>135000</v>
      </c>
      <c r="V210" s="21">
        <f t="shared" si="80"/>
        <v>135000</v>
      </c>
    </row>
    <row r="211" spans="1:22" ht="12.75">
      <c r="A211" s="5" t="s">
        <v>42</v>
      </c>
      <c r="B211" s="47" t="s">
        <v>15</v>
      </c>
      <c r="C211" s="164" t="s">
        <v>25</v>
      </c>
      <c r="D211" s="162">
        <v>6800110370</v>
      </c>
      <c r="E211" s="162">
        <v>244</v>
      </c>
      <c r="F211" s="162">
        <v>226</v>
      </c>
      <c r="G211" s="44"/>
      <c r="H211" s="78">
        <f>100000+5000+30000</f>
        <v>135000</v>
      </c>
      <c r="I211" s="78">
        <v>0</v>
      </c>
      <c r="J211" s="78">
        <f>0+134159.55</f>
        <v>134159.55</v>
      </c>
      <c r="K211" s="78">
        <v>0</v>
      </c>
      <c r="L211" s="78">
        <v>0</v>
      </c>
      <c r="M211" s="78">
        <v>0</v>
      </c>
      <c r="N211" s="78">
        <v>0</v>
      </c>
      <c r="O211" s="78">
        <v>0</v>
      </c>
      <c r="P211" s="78">
        <v>0</v>
      </c>
      <c r="Q211" s="78">
        <v>0</v>
      </c>
      <c r="R211" s="78">
        <v>0</v>
      </c>
      <c r="S211" s="78">
        <v>0</v>
      </c>
      <c r="T211" s="78">
        <v>840.45</v>
      </c>
      <c r="U211" s="24">
        <f t="shared" si="77"/>
        <v>135000</v>
      </c>
      <c r="V211" s="21">
        <f t="shared" si="80"/>
        <v>135000</v>
      </c>
    </row>
    <row r="212" spans="1:22" ht="12.75">
      <c r="A212" s="5"/>
      <c r="B212" s="68"/>
      <c r="C212" s="128"/>
      <c r="D212" s="127"/>
      <c r="E212" s="127"/>
      <c r="F212" s="127"/>
      <c r="G212" s="44"/>
      <c r="H212" s="78"/>
      <c r="I212" s="78"/>
      <c r="J212" s="78"/>
      <c r="K212" s="78"/>
      <c r="L212" s="78"/>
      <c r="M212" s="78"/>
      <c r="N212" s="78"/>
      <c r="O212" s="78"/>
      <c r="P212" s="78"/>
      <c r="Q212" s="78"/>
      <c r="R212" s="78"/>
      <c r="S212" s="78"/>
      <c r="T212" s="78"/>
      <c r="U212" s="24">
        <f t="shared" si="77"/>
        <v>0</v>
      </c>
      <c r="V212" s="21">
        <f t="shared" si="80"/>
        <v>0</v>
      </c>
    </row>
    <row r="213" spans="1:22" ht="12.75" hidden="1">
      <c r="A213" s="5"/>
      <c r="B213" s="68"/>
      <c r="C213" s="128"/>
      <c r="D213" s="127"/>
      <c r="E213" s="127"/>
      <c r="F213" s="127"/>
      <c r="G213" s="44"/>
      <c r="H213" s="78"/>
      <c r="I213" s="78"/>
      <c r="J213" s="78"/>
      <c r="K213" s="78"/>
      <c r="L213" s="78"/>
      <c r="M213" s="78"/>
      <c r="N213" s="78"/>
      <c r="O213" s="78"/>
      <c r="P213" s="78"/>
      <c r="Q213" s="78"/>
      <c r="R213" s="78"/>
      <c r="S213" s="78"/>
      <c r="T213" s="78"/>
      <c r="U213" s="24">
        <f t="shared" si="77"/>
        <v>0</v>
      </c>
      <c r="V213" s="21">
        <f t="shared" si="80"/>
        <v>0</v>
      </c>
    </row>
    <row r="214" spans="1:22" ht="12.75" hidden="1">
      <c r="A214" s="5"/>
      <c r="B214" s="68"/>
      <c r="C214" s="128"/>
      <c r="D214" s="127"/>
      <c r="E214" s="127"/>
      <c r="F214" s="127"/>
      <c r="G214" s="44"/>
      <c r="H214" s="78"/>
      <c r="I214" s="78"/>
      <c r="J214" s="78"/>
      <c r="K214" s="78"/>
      <c r="L214" s="78"/>
      <c r="M214" s="78"/>
      <c r="N214" s="78"/>
      <c r="O214" s="78"/>
      <c r="P214" s="78"/>
      <c r="Q214" s="78"/>
      <c r="R214" s="78"/>
      <c r="S214" s="78"/>
      <c r="T214" s="78"/>
      <c r="U214" s="24">
        <f t="shared" si="77"/>
        <v>0</v>
      </c>
      <c r="V214" s="21">
        <f t="shared" si="80"/>
        <v>0</v>
      </c>
    </row>
    <row r="215" spans="1:22" ht="12.75" hidden="1">
      <c r="A215" s="5"/>
      <c r="B215" s="68"/>
      <c r="C215" s="128"/>
      <c r="D215" s="127"/>
      <c r="E215" s="127"/>
      <c r="F215" s="127"/>
      <c r="G215" s="44"/>
      <c r="H215" s="78"/>
      <c r="I215" s="78"/>
      <c r="J215" s="78"/>
      <c r="K215" s="78"/>
      <c r="L215" s="78"/>
      <c r="M215" s="78"/>
      <c r="N215" s="78"/>
      <c r="O215" s="78"/>
      <c r="P215" s="78"/>
      <c r="Q215" s="78"/>
      <c r="R215" s="78"/>
      <c r="S215" s="78"/>
      <c r="T215" s="78"/>
      <c r="U215" s="24">
        <f t="shared" si="77"/>
        <v>0</v>
      </c>
      <c r="V215" s="21">
        <f t="shared" si="80"/>
        <v>0</v>
      </c>
    </row>
    <row r="216" spans="1:22" ht="12.75" hidden="1">
      <c r="A216" s="5"/>
      <c r="B216" s="68"/>
      <c r="C216" s="128"/>
      <c r="D216" s="127"/>
      <c r="E216" s="127"/>
      <c r="F216" s="127"/>
      <c r="G216" s="44"/>
      <c r="H216" s="78"/>
      <c r="I216" s="78"/>
      <c r="J216" s="78"/>
      <c r="K216" s="78"/>
      <c r="L216" s="78"/>
      <c r="M216" s="78"/>
      <c r="N216" s="78"/>
      <c r="O216" s="78"/>
      <c r="P216" s="78"/>
      <c r="Q216" s="78"/>
      <c r="R216" s="78"/>
      <c r="S216" s="78"/>
      <c r="T216" s="78"/>
      <c r="U216" s="24">
        <f t="shared" si="77"/>
        <v>0</v>
      </c>
      <c r="V216" s="21">
        <f t="shared" si="80"/>
        <v>0</v>
      </c>
    </row>
    <row r="217" spans="1:22" ht="12.75" hidden="1">
      <c r="A217" s="5"/>
      <c r="B217" s="68"/>
      <c r="C217" s="128"/>
      <c r="D217" s="127"/>
      <c r="E217" s="127"/>
      <c r="F217" s="127"/>
      <c r="G217" s="44"/>
      <c r="H217" s="78"/>
      <c r="I217" s="78"/>
      <c r="J217" s="78"/>
      <c r="K217" s="78"/>
      <c r="L217" s="78"/>
      <c r="M217" s="78"/>
      <c r="N217" s="78"/>
      <c r="O217" s="78"/>
      <c r="P217" s="78"/>
      <c r="Q217" s="78"/>
      <c r="R217" s="78"/>
      <c r="S217" s="78"/>
      <c r="T217" s="78"/>
      <c r="U217" s="24">
        <f t="shared" si="77"/>
        <v>0</v>
      </c>
      <c r="V217" s="21">
        <f t="shared" si="80"/>
        <v>0</v>
      </c>
    </row>
    <row r="218" spans="1:22" ht="12.75" hidden="1">
      <c r="A218" s="5"/>
      <c r="B218" s="68"/>
      <c r="C218" s="128"/>
      <c r="D218" s="127"/>
      <c r="E218" s="127"/>
      <c r="F218" s="127"/>
      <c r="G218" s="44"/>
      <c r="H218" s="78"/>
      <c r="I218" s="78"/>
      <c r="J218" s="78"/>
      <c r="K218" s="78"/>
      <c r="L218" s="78"/>
      <c r="M218" s="78"/>
      <c r="N218" s="78"/>
      <c r="O218" s="78"/>
      <c r="P218" s="78"/>
      <c r="Q218" s="78"/>
      <c r="R218" s="78"/>
      <c r="S218" s="78"/>
      <c r="T218" s="78"/>
      <c r="U218" s="24">
        <f t="shared" si="77"/>
        <v>0</v>
      </c>
      <c r="V218" s="21">
        <f t="shared" si="80"/>
        <v>0</v>
      </c>
    </row>
    <row r="219" spans="1:22" ht="12.75" hidden="1">
      <c r="A219" s="5"/>
      <c r="B219" s="68"/>
      <c r="C219" s="128"/>
      <c r="D219" s="127"/>
      <c r="E219" s="127"/>
      <c r="F219" s="127"/>
      <c r="G219" s="44"/>
      <c r="H219" s="78"/>
      <c r="I219" s="78"/>
      <c r="J219" s="78"/>
      <c r="K219" s="78"/>
      <c r="L219" s="78"/>
      <c r="M219" s="78"/>
      <c r="N219" s="78"/>
      <c r="O219" s="78"/>
      <c r="P219" s="78"/>
      <c r="Q219" s="78"/>
      <c r="R219" s="78"/>
      <c r="S219" s="78"/>
      <c r="T219" s="78"/>
      <c r="U219" s="24">
        <f t="shared" si="77"/>
        <v>0</v>
      </c>
      <c r="V219" s="21">
        <f t="shared" si="80"/>
        <v>0</v>
      </c>
    </row>
    <row r="220" spans="1:22" ht="12.75" hidden="1">
      <c r="A220" s="5"/>
      <c r="B220" s="68"/>
      <c r="C220" s="128"/>
      <c r="D220" s="127"/>
      <c r="E220" s="127"/>
      <c r="F220" s="127"/>
      <c r="G220" s="44"/>
      <c r="H220" s="78"/>
      <c r="I220" s="78"/>
      <c r="J220" s="78"/>
      <c r="K220" s="78"/>
      <c r="L220" s="78"/>
      <c r="M220" s="78"/>
      <c r="N220" s="78"/>
      <c r="O220" s="78"/>
      <c r="P220" s="78"/>
      <c r="Q220" s="78"/>
      <c r="R220" s="78"/>
      <c r="S220" s="78"/>
      <c r="T220" s="78"/>
      <c r="U220" s="24">
        <f t="shared" si="77"/>
        <v>0</v>
      </c>
      <c r="V220" s="21">
        <f t="shared" si="80"/>
        <v>0</v>
      </c>
    </row>
    <row r="221" spans="1:22" ht="12.75" hidden="1">
      <c r="A221" s="5"/>
      <c r="B221" s="68"/>
      <c r="C221" s="128"/>
      <c r="D221" s="127"/>
      <c r="E221" s="127"/>
      <c r="F221" s="127"/>
      <c r="G221" s="44"/>
      <c r="H221" s="78"/>
      <c r="I221" s="78"/>
      <c r="J221" s="78"/>
      <c r="K221" s="78"/>
      <c r="L221" s="78"/>
      <c r="M221" s="78"/>
      <c r="N221" s="78"/>
      <c r="O221" s="78"/>
      <c r="P221" s="78"/>
      <c r="Q221" s="78"/>
      <c r="R221" s="78"/>
      <c r="S221" s="78"/>
      <c r="T221" s="78"/>
      <c r="U221" s="24">
        <f t="shared" si="77"/>
        <v>0</v>
      </c>
      <c r="V221" s="21">
        <f t="shared" si="80"/>
        <v>0</v>
      </c>
    </row>
    <row r="222" spans="1:22" ht="12.75" hidden="1">
      <c r="A222" s="42"/>
      <c r="B222" s="66"/>
      <c r="C222" s="123"/>
      <c r="D222" s="123"/>
      <c r="E222" s="123"/>
      <c r="F222" s="123"/>
      <c r="G222" s="44"/>
      <c r="H222" s="81"/>
      <c r="I222" s="81"/>
      <c r="J222" s="81"/>
      <c r="K222" s="81"/>
      <c r="L222" s="81"/>
      <c r="M222" s="81"/>
      <c r="N222" s="81"/>
      <c r="O222" s="81"/>
      <c r="P222" s="81"/>
      <c r="Q222" s="81"/>
      <c r="R222" s="81"/>
      <c r="S222" s="81"/>
      <c r="T222" s="81"/>
      <c r="U222" s="24">
        <f t="shared" si="77"/>
        <v>0</v>
      </c>
      <c r="V222" s="21">
        <f t="shared" si="80"/>
        <v>0</v>
      </c>
    </row>
    <row r="223" spans="1:22" ht="12.75">
      <c r="A223" s="42"/>
      <c r="B223" s="29" t="s">
        <v>53</v>
      </c>
      <c r="C223" s="180" t="s">
        <v>25</v>
      </c>
      <c r="D223" s="123"/>
      <c r="E223" s="123"/>
      <c r="F223" s="123"/>
      <c r="G223" s="44"/>
      <c r="H223" s="74">
        <f aca="true" t="shared" si="82" ref="H223:T223">H196+H207+H210</f>
        <v>1640500</v>
      </c>
      <c r="I223" s="75">
        <f t="shared" si="82"/>
        <v>7700</v>
      </c>
      <c r="J223" s="75">
        <f t="shared" si="82"/>
        <v>296259.55</v>
      </c>
      <c r="K223" s="75">
        <f t="shared" si="82"/>
        <v>50000</v>
      </c>
      <c r="L223" s="75">
        <f t="shared" si="82"/>
        <v>139000</v>
      </c>
      <c r="M223" s="75">
        <f t="shared" si="82"/>
        <v>80000</v>
      </c>
      <c r="N223" s="75">
        <f t="shared" si="82"/>
        <v>81250</v>
      </c>
      <c r="O223" s="75">
        <f t="shared" si="82"/>
        <v>95000</v>
      </c>
      <c r="P223" s="75">
        <f t="shared" si="82"/>
        <v>170550</v>
      </c>
      <c r="Q223" s="75">
        <f t="shared" si="82"/>
        <v>102300</v>
      </c>
      <c r="R223" s="75">
        <f t="shared" si="82"/>
        <v>200000</v>
      </c>
      <c r="S223" s="75">
        <f t="shared" si="82"/>
        <v>150000</v>
      </c>
      <c r="T223" s="75">
        <f t="shared" si="82"/>
        <v>268440.45</v>
      </c>
      <c r="U223" s="24">
        <f t="shared" si="77"/>
        <v>1640500</v>
      </c>
      <c r="V223" s="21">
        <f t="shared" si="80"/>
        <v>1640500</v>
      </c>
    </row>
    <row r="224" spans="1:22" ht="12.75">
      <c r="A224" s="42"/>
      <c r="B224" s="66"/>
      <c r="C224" s="123"/>
      <c r="D224" s="123"/>
      <c r="E224" s="123"/>
      <c r="F224" s="123"/>
      <c r="G224" s="44"/>
      <c r="H224" s="81"/>
      <c r="I224" s="81"/>
      <c r="J224" s="81"/>
      <c r="K224" s="81"/>
      <c r="L224" s="81"/>
      <c r="M224" s="81"/>
      <c r="N224" s="81"/>
      <c r="O224" s="81"/>
      <c r="P224" s="81"/>
      <c r="Q224" s="81"/>
      <c r="R224" s="81"/>
      <c r="S224" s="81"/>
      <c r="T224" s="81"/>
      <c r="U224" s="24"/>
      <c r="V224" s="21">
        <f t="shared" si="80"/>
        <v>0</v>
      </c>
    </row>
    <row r="225" spans="1:22" ht="12.75">
      <c r="A225" s="53"/>
      <c r="B225" s="54" t="s">
        <v>74</v>
      </c>
      <c r="C225" s="139"/>
      <c r="D225" s="139"/>
      <c r="E225" s="139"/>
      <c r="F225" s="139"/>
      <c r="G225" s="79"/>
      <c r="H225" s="80">
        <f aca="true" t="shared" si="83" ref="H225:T225">H223+H194</f>
        <v>14339590.73</v>
      </c>
      <c r="I225" s="80">
        <f t="shared" si="83"/>
        <v>15316.33</v>
      </c>
      <c r="J225" s="80">
        <f t="shared" si="83"/>
        <v>296259.55</v>
      </c>
      <c r="K225" s="80">
        <f t="shared" si="83"/>
        <v>50000</v>
      </c>
      <c r="L225" s="80">
        <f t="shared" si="83"/>
        <v>145400</v>
      </c>
      <c r="M225" s="80">
        <f t="shared" si="83"/>
        <v>136400</v>
      </c>
      <c r="N225" s="80">
        <f t="shared" si="83"/>
        <v>117833.67</v>
      </c>
      <c r="O225" s="80">
        <f t="shared" si="83"/>
        <v>117800</v>
      </c>
      <c r="P225" s="80">
        <f t="shared" si="83"/>
        <v>176950</v>
      </c>
      <c r="Q225" s="80">
        <f t="shared" si="83"/>
        <v>108700</v>
      </c>
      <c r="R225" s="80">
        <f t="shared" si="83"/>
        <v>256400</v>
      </c>
      <c r="S225" s="80">
        <f t="shared" si="83"/>
        <v>12628800</v>
      </c>
      <c r="T225" s="80">
        <f t="shared" si="83"/>
        <v>289731.18</v>
      </c>
      <c r="U225" s="24">
        <f>I225+J225+K225+L225+M225+N225+O225+P225+Q225+R225+S225+T225</f>
        <v>14339590.73</v>
      </c>
      <c r="V225" s="199">
        <f t="shared" si="80"/>
        <v>14339590.73</v>
      </c>
    </row>
    <row r="226" spans="1:22" ht="12.75">
      <c r="A226" s="42"/>
      <c r="B226" s="66"/>
      <c r="C226" s="123"/>
      <c r="D226" s="123"/>
      <c r="E226" s="123"/>
      <c r="F226" s="123"/>
      <c r="G226" s="44"/>
      <c r="H226" s="81"/>
      <c r="I226" s="81"/>
      <c r="J226" s="81"/>
      <c r="K226" s="81"/>
      <c r="L226" s="81"/>
      <c r="M226" s="81"/>
      <c r="N226" s="81"/>
      <c r="O226" s="81"/>
      <c r="P226" s="81"/>
      <c r="Q226" s="81"/>
      <c r="R226" s="81"/>
      <c r="S226" s="81"/>
      <c r="T226" s="81"/>
      <c r="U226" s="24"/>
      <c r="V226" s="21">
        <f t="shared" si="80"/>
        <v>0</v>
      </c>
    </row>
    <row r="227" spans="1:22" ht="69.75" customHeight="1">
      <c r="A227" s="5" t="s">
        <v>42</v>
      </c>
      <c r="B227" s="35" t="s">
        <v>147</v>
      </c>
      <c r="C227" s="148" t="s">
        <v>75</v>
      </c>
      <c r="D227" s="161">
        <v>6500000000</v>
      </c>
      <c r="E227" s="161"/>
      <c r="F227" s="161"/>
      <c r="G227" s="37"/>
      <c r="H227" s="39">
        <f aca="true" t="shared" si="84" ref="H227:T227">H228+H229+H230+H231+H232</f>
        <v>105200</v>
      </c>
      <c r="I227" s="39">
        <f t="shared" si="84"/>
        <v>9200</v>
      </c>
      <c r="J227" s="39">
        <f t="shared" si="84"/>
        <v>0</v>
      </c>
      <c r="K227" s="39">
        <f t="shared" si="84"/>
        <v>0</v>
      </c>
      <c r="L227" s="39">
        <f t="shared" si="84"/>
        <v>9200</v>
      </c>
      <c r="M227" s="39">
        <f t="shared" si="84"/>
        <v>9200</v>
      </c>
      <c r="N227" s="39">
        <f t="shared" si="84"/>
        <v>7000</v>
      </c>
      <c r="O227" s="39">
        <f t="shared" si="84"/>
        <v>14000</v>
      </c>
      <c r="P227" s="39">
        <f t="shared" si="84"/>
        <v>9200</v>
      </c>
      <c r="Q227" s="39">
        <f t="shared" si="84"/>
        <v>9200</v>
      </c>
      <c r="R227" s="39">
        <f t="shared" si="84"/>
        <v>9400</v>
      </c>
      <c r="S227" s="39">
        <f t="shared" si="84"/>
        <v>16400</v>
      </c>
      <c r="T227" s="39">
        <f t="shared" si="84"/>
        <v>12400</v>
      </c>
      <c r="U227" s="24">
        <f aca="true" t="shared" si="85" ref="U227:U232">I227+J227+K227+L227+M227+N227+O227+P227+Q227+R227+S227+T227</f>
        <v>105200</v>
      </c>
      <c r="V227" s="21">
        <f t="shared" si="80"/>
        <v>105200</v>
      </c>
    </row>
    <row r="228" spans="1:22" ht="12.75" hidden="1">
      <c r="A228" s="5" t="s">
        <v>42</v>
      </c>
      <c r="B228" s="3" t="s">
        <v>7</v>
      </c>
      <c r="C228" s="201" t="s">
        <v>75</v>
      </c>
      <c r="D228" s="162">
        <v>6510110250</v>
      </c>
      <c r="E228" s="162">
        <v>611</v>
      </c>
      <c r="F228" s="162">
        <v>211</v>
      </c>
      <c r="G228" s="50"/>
      <c r="H228" s="78">
        <v>0</v>
      </c>
      <c r="I228" s="78">
        <v>0</v>
      </c>
      <c r="J228" s="78">
        <v>0</v>
      </c>
      <c r="K228" s="78">
        <v>0</v>
      </c>
      <c r="L228" s="78">
        <v>0</v>
      </c>
      <c r="M228" s="78">
        <v>0</v>
      </c>
      <c r="N228" s="78">
        <v>0</v>
      </c>
      <c r="O228" s="78">
        <v>0</v>
      </c>
      <c r="P228" s="78">
        <v>0</v>
      </c>
      <c r="Q228" s="78">
        <v>0</v>
      </c>
      <c r="R228" s="78">
        <v>0</v>
      </c>
      <c r="S228" s="78">
        <v>0</v>
      </c>
      <c r="T228" s="78">
        <v>0</v>
      </c>
      <c r="U228" s="24">
        <f t="shared" si="85"/>
        <v>0</v>
      </c>
      <c r="V228" s="21">
        <f t="shared" si="80"/>
        <v>0</v>
      </c>
    </row>
    <row r="229" spans="1:22" ht="12.75" hidden="1">
      <c r="A229" s="5" t="s">
        <v>42</v>
      </c>
      <c r="B229" s="3" t="s">
        <v>9</v>
      </c>
      <c r="C229" s="201" t="s">
        <v>75</v>
      </c>
      <c r="D229" s="162">
        <v>6510110250</v>
      </c>
      <c r="E229" s="162">
        <v>611</v>
      </c>
      <c r="F229" s="162">
        <v>213</v>
      </c>
      <c r="G229" s="50"/>
      <c r="H229" s="78">
        <v>0</v>
      </c>
      <c r="I229" s="78">
        <v>0</v>
      </c>
      <c r="J229" s="78">
        <v>0</v>
      </c>
      <c r="K229" s="78">
        <v>0</v>
      </c>
      <c r="L229" s="78">
        <v>0</v>
      </c>
      <c r="M229" s="78">
        <v>0</v>
      </c>
      <c r="N229" s="78">
        <v>0</v>
      </c>
      <c r="O229" s="78">
        <v>0</v>
      </c>
      <c r="P229" s="78">
        <v>0</v>
      </c>
      <c r="Q229" s="78">
        <v>0</v>
      </c>
      <c r="R229" s="78">
        <v>0</v>
      </c>
      <c r="S229" s="78">
        <v>0</v>
      </c>
      <c r="T229" s="78">
        <v>0</v>
      </c>
      <c r="U229" s="24">
        <f t="shared" si="85"/>
        <v>0</v>
      </c>
      <c r="V229" s="21">
        <f t="shared" si="80"/>
        <v>0</v>
      </c>
    </row>
    <row r="230" spans="1:22" ht="25.5">
      <c r="A230" s="83" t="s">
        <v>42</v>
      </c>
      <c r="B230" s="3" t="s">
        <v>7</v>
      </c>
      <c r="C230" s="201" t="s">
        <v>75</v>
      </c>
      <c r="D230" s="162">
        <v>6510110250</v>
      </c>
      <c r="E230" s="162">
        <v>611</v>
      </c>
      <c r="F230" s="162">
        <v>211</v>
      </c>
      <c r="G230" s="82" t="s">
        <v>76</v>
      </c>
      <c r="H230" s="78">
        <v>65400</v>
      </c>
      <c r="I230" s="78">
        <v>5400</v>
      </c>
      <c r="J230" s="78">
        <v>0</v>
      </c>
      <c r="K230" s="78">
        <v>0</v>
      </c>
      <c r="L230" s="78">
        <v>5400</v>
      </c>
      <c r="M230" s="78">
        <v>5400</v>
      </c>
      <c r="N230" s="78">
        <v>5400</v>
      </c>
      <c r="O230" s="78">
        <f>5400+5400</f>
        <v>10800</v>
      </c>
      <c r="P230" s="78">
        <v>5400</v>
      </c>
      <c r="Q230" s="78">
        <v>5400</v>
      </c>
      <c r="R230" s="78">
        <v>5400</v>
      </c>
      <c r="S230" s="78">
        <f>5400+5400</f>
        <v>10800</v>
      </c>
      <c r="T230" s="78">
        <v>6000</v>
      </c>
      <c r="U230" s="24">
        <f t="shared" si="85"/>
        <v>65400</v>
      </c>
      <c r="V230" s="21">
        <f t="shared" si="80"/>
        <v>65400</v>
      </c>
    </row>
    <row r="231" spans="1:22" ht="25.5">
      <c r="A231" s="83" t="s">
        <v>42</v>
      </c>
      <c r="B231" s="3" t="s">
        <v>9</v>
      </c>
      <c r="C231" s="201" t="s">
        <v>75</v>
      </c>
      <c r="D231" s="162">
        <v>6510110250</v>
      </c>
      <c r="E231" s="162">
        <v>611</v>
      </c>
      <c r="F231" s="162">
        <v>213</v>
      </c>
      <c r="G231" s="82" t="s">
        <v>76</v>
      </c>
      <c r="H231" s="78">
        <v>19800</v>
      </c>
      <c r="I231" s="78">
        <v>1600</v>
      </c>
      <c r="J231" s="78">
        <v>0</v>
      </c>
      <c r="K231" s="78">
        <v>0</v>
      </c>
      <c r="L231" s="78">
        <v>1600</v>
      </c>
      <c r="M231" s="78">
        <v>1600</v>
      </c>
      <c r="N231" s="78">
        <v>1600</v>
      </c>
      <c r="O231" s="78">
        <f>1600+1600</f>
        <v>3200</v>
      </c>
      <c r="P231" s="78">
        <v>1600</v>
      </c>
      <c r="Q231" s="78">
        <v>1600</v>
      </c>
      <c r="R231" s="78">
        <v>1600</v>
      </c>
      <c r="S231" s="78">
        <f>1600+1600</f>
        <v>3200</v>
      </c>
      <c r="T231" s="78">
        <v>2200</v>
      </c>
      <c r="U231" s="24">
        <f t="shared" si="85"/>
        <v>19800</v>
      </c>
      <c r="V231" s="21">
        <f t="shared" si="80"/>
        <v>19800</v>
      </c>
    </row>
    <row r="232" spans="1:22" ht="12.75">
      <c r="A232" s="5" t="s">
        <v>42</v>
      </c>
      <c r="B232" s="72" t="s">
        <v>16</v>
      </c>
      <c r="C232" s="201" t="s">
        <v>75</v>
      </c>
      <c r="D232" s="162">
        <v>6510110250</v>
      </c>
      <c r="E232" s="162">
        <v>611</v>
      </c>
      <c r="F232" s="162">
        <v>290</v>
      </c>
      <c r="G232" s="50"/>
      <c r="H232" s="78">
        <v>20000</v>
      </c>
      <c r="I232" s="78">
        <v>2200</v>
      </c>
      <c r="J232" s="78">
        <v>0</v>
      </c>
      <c r="K232" s="78">
        <v>0</v>
      </c>
      <c r="L232" s="78">
        <v>2200</v>
      </c>
      <c r="M232" s="78">
        <v>2200</v>
      </c>
      <c r="N232" s="78">
        <v>0</v>
      </c>
      <c r="O232" s="78">
        <v>0</v>
      </c>
      <c r="P232" s="78">
        <v>2200</v>
      </c>
      <c r="Q232" s="78">
        <v>2200</v>
      </c>
      <c r="R232" s="78">
        <v>2400</v>
      </c>
      <c r="S232" s="78">
        <v>2400</v>
      </c>
      <c r="T232" s="78">
        <v>4200</v>
      </c>
      <c r="U232" s="24">
        <f t="shared" si="85"/>
        <v>20000</v>
      </c>
      <c r="V232" s="21">
        <f t="shared" si="80"/>
        <v>20000</v>
      </c>
    </row>
    <row r="233" spans="1:22" ht="12.75">
      <c r="A233" s="42"/>
      <c r="B233" s="66"/>
      <c r="C233" s="162"/>
      <c r="D233" s="162"/>
      <c r="E233" s="162"/>
      <c r="F233" s="162"/>
      <c r="G233" s="50"/>
      <c r="H233" s="78"/>
      <c r="I233" s="78"/>
      <c r="J233" s="78"/>
      <c r="K233" s="78"/>
      <c r="L233" s="78"/>
      <c r="M233" s="78"/>
      <c r="N233" s="78"/>
      <c r="O233" s="78"/>
      <c r="P233" s="78"/>
      <c r="Q233" s="78"/>
      <c r="R233" s="78"/>
      <c r="S233" s="78"/>
      <c r="T233" s="78"/>
      <c r="U233" s="24"/>
      <c r="V233" s="21">
        <f t="shared" si="80"/>
        <v>0</v>
      </c>
    </row>
    <row r="234" spans="1:22" ht="12.75">
      <c r="A234" s="42"/>
      <c r="B234" s="29" t="s">
        <v>53</v>
      </c>
      <c r="C234" s="180" t="s">
        <v>75</v>
      </c>
      <c r="D234" s="162"/>
      <c r="E234" s="162"/>
      <c r="F234" s="162"/>
      <c r="G234" s="50"/>
      <c r="H234" s="74">
        <f aca="true" t="shared" si="86" ref="H234:T234">H227</f>
        <v>105200</v>
      </c>
      <c r="I234" s="75">
        <f t="shared" si="86"/>
        <v>9200</v>
      </c>
      <c r="J234" s="75">
        <f t="shared" si="86"/>
        <v>0</v>
      </c>
      <c r="K234" s="75">
        <f t="shared" si="86"/>
        <v>0</v>
      </c>
      <c r="L234" s="75">
        <f t="shared" si="86"/>
        <v>9200</v>
      </c>
      <c r="M234" s="75">
        <f t="shared" si="86"/>
        <v>9200</v>
      </c>
      <c r="N234" s="75">
        <f t="shared" si="86"/>
        <v>7000</v>
      </c>
      <c r="O234" s="75">
        <f t="shared" si="86"/>
        <v>14000</v>
      </c>
      <c r="P234" s="75">
        <f t="shared" si="86"/>
        <v>9200</v>
      </c>
      <c r="Q234" s="75">
        <f t="shared" si="86"/>
        <v>9200</v>
      </c>
      <c r="R234" s="75">
        <f t="shared" si="86"/>
        <v>9400</v>
      </c>
      <c r="S234" s="75">
        <f t="shared" si="86"/>
        <v>16400</v>
      </c>
      <c r="T234" s="75">
        <f t="shared" si="86"/>
        <v>12400</v>
      </c>
      <c r="U234" s="24">
        <f>I234+J234+K234+L234+M234+N234+O234+P234+Q234+R234+S234+T234</f>
        <v>105200</v>
      </c>
      <c r="V234" s="21">
        <f t="shared" si="80"/>
        <v>105200</v>
      </c>
    </row>
    <row r="235" spans="1:22" ht="12.75">
      <c r="A235" s="42"/>
      <c r="B235" s="66"/>
      <c r="C235" s="127"/>
      <c r="D235" s="127"/>
      <c r="E235" s="127"/>
      <c r="F235" s="127"/>
      <c r="G235" s="50"/>
      <c r="H235" s="78"/>
      <c r="I235" s="78"/>
      <c r="J235" s="78"/>
      <c r="K235" s="78"/>
      <c r="L235" s="78"/>
      <c r="M235" s="78"/>
      <c r="N235" s="78"/>
      <c r="O235" s="78"/>
      <c r="P235" s="78"/>
      <c r="Q235" s="78"/>
      <c r="R235" s="78"/>
      <c r="S235" s="78"/>
      <c r="T235" s="78"/>
      <c r="U235" s="24"/>
      <c r="V235" s="21">
        <f t="shared" si="80"/>
        <v>0</v>
      </c>
    </row>
    <row r="236" spans="1:22" ht="12.75">
      <c r="A236" s="53"/>
      <c r="B236" s="54" t="s">
        <v>77</v>
      </c>
      <c r="C236" s="140"/>
      <c r="D236" s="140"/>
      <c r="E236" s="140"/>
      <c r="F236" s="140"/>
      <c r="G236" s="84"/>
      <c r="H236" s="80">
        <f aca="true" t="shared" si="87" ref="H236:T236">H234</f>
        <v>105200</v>
      </c>
      <c r="I236" s="80">
        <f t="shared" si="87"/>
        <v>9200</v>
      </c>
      <c r="J236" s="80">
        <f t="shared" si="87"/>
        <v>0</v>
      </c>
      <c r="K236" s="80">
        <f t="shared" si="87"/>
        <v>0</v>
      </c>
      <c r="L236" s="80">
        <f t="shared" si="87"/>
        <v>9200</v>
      </c>
      <c r="M236" s="80">
        <f t="shared" si="87"/>
        <v>9200</v>
      </c>
      <c r="N236" s="80">
        <f t="shared" si="87"/>
        <v>7000</v>
      </c>
      <c r="O236" s="80">
        <f t="shared" si="87"/>
        <v>14000</v>
      </c>
      <c r="P236" s="80">
        <f t="shared" si="87"/>
        <v>9200</v>
      </c>
      <c r="Q236" s="80">
        <f t="shared" si="87"/>
        <v>9200</v>
      </c>
      <c r="R236" s="80">
        <f t="shared" si="87"/>
        <v>9400</v>
      </c>
      <c r="S236" s="80">
        <f t="shared" si="87"/>
        <v>16400</v>
      </c>
      <c r="T236" s="80">
        <f t="shared" si="87"/>
        <v>12400</v>
      </c>
      <c r="U236" s="24">
        <f>I236+J236+K236+L236+M236+N236+O236+P236+Q236+R236+S236+T236</f>
        <v>105200</v>
      </c>
      <c r="V236" s="199">
        <f t="shared" si="80"/>
        <v>105200</v>
      </c>
    </row>
    <row r="237" spans="1:22" ht="12.75">
      <c r="A237" s="42"/>
      <c r="B237" s="66"/>
      <c r="C237" s="127"/>
      <c r="D237" s="127"/>
      <c r="E237" s="127"/>
      <c r="F237" s="127"/>
      <c r="G237" s="50"/>
      <c r="H237" s="78"/>
      <c r="I237" s="78"/>
      <c r="J237" s="78"/>
      <c r="K237" s="78"/>
      <c r="L237" s="78"/>
      <c r="M237" s="78"/>
      <c r="N237" s="78"/>
      <c r="O237" s="78"/>
      <c r="P237" s="78"/>
      <c r="Q237" s="78"/>
      <c r="R237" s="78"/>
      <c r="S237" s="78"/>
      <c r="T237" s="78"/>
      <c r="U237" s="24"/>
      <c r="V237" s="21">
        <f t="shared" si="80"/>
        <v>0</v>
      </c>
    </row>
    <row r="238" spans="1:22" ht="66.75" customHeight="1">
      <c r="A238" s="5" t="s">
        <v>42</v>
      </c>
      <c r="B238" s="35" t="s">
        <v>148</v>
      </c>
      <c r="C238" s="148" t="s">
        <v>26</v>
      </c>
      <c r="D238" s="161">
        <v>8200000000</v>
      </c>
      <c r="E238" s="117"/>
      <c r="F238" s="117"/>
      <c r="G238" s="37"/>
      <c r="H238" s="39">
        <f aca="true" t="shared" si="88" ref="H238:T238">H240+H243+H271+H286</f>
        <v>12249900</v>
      </c>
      <c r="I238" s="39">
        <f t="shared" si="88"/>
        <v>995900</v>
      </c>
      <c r="J238" s="39">
        <f t="shared" si="88"/>
        <v>845190</v>
      </c>
      <c r="K238" s="39">
        <f t="shared" si="88"/>
        <v>857490</v>
      </c>
      <c r="L238" s="39">
        <f t="shared" si="88"/>
        <v>1031890</v>
      </c>
      <c r="M238" s="39">
        <f t="shared" si="88"/>
        <v>952790</v>
      </c>
      <c r="N238" s="39">
        <f t="shared" si="88"/>
        <v>930450</v>
      </c>
      <c r="O238" s="39">
        <f t="shared" si="88"/>
        <v>978790</v>
      </c>
      <c r="P238" s="39">
        <f t="shared" si="88"/>
        <v>928790</v>
      </c>
      <c r="Q238" s="39">
        <f t="shared" si="88"/>
        <v>957690</v>
      </c>
      <c r="R238" s="39">
        <f t="shared" si="88"/>
        <v>1221630</v>
      </c>
      <c r="S238" s="39">
        <f t="shared" si="88"/>
        <v>1247390</v>
      </c>
      <c r="T238" s="39">
        <f t="shared" si="88"/>
        <v>1301900</v>
      </c>
      <c r="U238" s="24">
        <f>I238+J238+K238+L238+M238+N238+O238+P238+Q238+R238+S238+T238</f>
        <v>12249900</v>
      </c>
      <c r="V238" s="21">
        <f t="shared" si="80"/>
        <v>12249900</v>
      </c>
    </row>
    <row r="239" spans="1:22" ht="12.75">
      <c r="A239" s="42"/>
      <c r="B239" s="66"/>
      <c r="C239" s="123"/>
      <c r="D239" s="123"/>
      <c r="E239" s="123"/>
      <c r="F239" s="123"/>
      <c r="G239" s="44"/>
      <c r="H239" s="81"/>
      <c r="I239" s="81"/>
      <c r="J239" s="81"/>
      <c r="K239" s="81"/>
      <c r="L239" s="81"/>
      <c r="M239" s="81"/>
      <c r="N239" s="81"/>
      <c r="O239" s="81"/>
      <c r="P239" s="81"/>
      <c r="Q239" s="81"/>
      <c r="R239" s="81"/>
      <c r="S239" s="81"/>
      <c r="T239" s="81"/>
      <c r="U239" s="24"/>
      <c r="V239" s="21">
        <f t="shared" si="80"/>
        <v>0</v>
      </c>
    </row>
    <row r="240" spans="1:22" ht="38.25">
      <c r="A240" s="5" t="s">
        <v>42</v>
      </c>
      <c r="B240" s="35" t="s">
        <v>149</v>
      </c>
      <c r="C240" s="148" t="s">
        <v>26</v>
      </c>
      <c r="D240" s="161">
        <v>8210000000</v>
      </c>
      <c r="E240" s="161"/>
      <c r="F240" s="161"/>
      <c r="G240" s="37"/>
      <c r="H240" s="39">
        <f aca="true" t="shared" si="89" ref="H240:T240">H241</f>
        <v>50000</v>
      </c>
      <c r="I240" s="39">
        <f t="shared" si="89"/>
        <v>0</v>
      </c>
      <c r="J240" s="39">
        <f t="shared" si="89"/>
        <v>0</v>
      </c>
      <c r="K240" s="39">
        <f t="shared" si="89"/>
        <v>0</v>
      </c>
      <c r="L240" s="39">
        <f t="shared" si="89"/>
        <v>0</v>
      </c>
      <c r="M240" s="39">
        <f t="shared" si="89"/>
        <v>0</v>
      </c>
      <c r="N240" s="39">
        <f t="shared" si="89"/>
        <v>0</v>
      </c>
      <c r="O240" s="39">
        <f t="shared" si="89"/>
        <v>0</v>
      </c>
      <c r="P240" s="39">
        <f t="shared" si="89"/>
        <v>0</v>
      </c>
      <c r="Q240" s="39">
        <f t="shared" si="89"/>
        <v>0</v>
      </c>
      <c r="R240" s="39">
        <f t="shared" si="89"/>
        <v>0</v>
      </c>
      <c r="S240" s="39">
        <f t="shared" si="89"/>
        <v>0</v>
      </c>
      <c r="T240" s="39">
        <f t="shared" si="89"/>
        <v>50000</v>
      </c>
      <c r="U240" s="24">
        <f>I240+J240+K240+L240+M240+N240+O240+P240+Q240+R240+S240+T240</f>
        <v>50000</v>
      </c>
      <c r="V240" s="21">
        <f t="shared" si="80"/>
        <v>50000</v>
      </c>
    </row>
    <row r="241" spans="1:22" ht="12.75">
      <c r="A241" s="5" t="s">
        <v>42</v>
      </c>
      <c r="B241" s="72" t="s">
        <v>16</v>
      </c>
      <c r="C241" s="164" t="s">
        <v>26</v>
      </c>
      <c r="D241" s="162">
        <v>8210100260</v>
      </c>
      <c r="E241" s="162">
        <v>611</v>
      </c>
      <c r="F241" s="162">
        <v>290</v>
      </c>
      <c r="G241" s="50"/>
      <c r="H241" s="78">
        <v>50000</v>
      </c>
      <c r="I241" s="78">
        <v>0</v>
      </c>
      <c r="J241" s="78">
        <v>0</v>
      </c>
      <c r="K241" s="78">
        <v>0</v>
      </c>
      <c r="L241" s="78">
        <v>0</v>
      </c>
      <c r="M241" s="78">
        <v>0</v>
      </c>
      <c r="N241" s="78">
        <v>0</v>
      </c>
      <c r="O241" s="78">
        <v>0</v>
      </c>
      <c r="P241" s="78">
        <v>0</v>
      </c>
      <c r="Q241" s="78">
        <v>0</v>
      </c>
      <c r="R241" s="78">
        <v>0</v>
      </c>
      <c r="S241" s="78">
        <v>0</v>
      </c>
      <c r="T241" s="78">
        <v>50000</v>
      </c>
      <c r="U241" s="24">
        <f>I241+J241+K241+L241+M241+N241+O241+P241+Q241+R241+S241+T241</f>
        <v>50000</v>
      </c>
      <c r="V241" s="21">
        <f aca="true" t="shared" si="90" ref="V241:V272">SUM(I241:T241)</f>
        <v>50000</v>
      </c>
    </row>
    <row r="242" spans="1:22" ht="12.75">
      <c r="A242" s="42"/>
      <c r="B242" s="66"/>
      <c r="C242" s="127"/>
      <c r="D242" s="127"/>
      <c r="E242" s="127"/>
      <c r="F242" s="127"/>
      <c r="G242" s="50"/>
      <c r="H242" s="78"/>
      <c r="I242" s="78"/>
      <c r="J242" s="78"/>
      <c r="K242" s="78"/>
      <c r="L242" s="78"/>
      <c r="M242" s="78"/>
      <c r="N242" s="78"/>
      <c r="O242" s="78"/>
      <c r="P242" s="78"/>
      <c r="Q242" s="78"/>
      <c r="R242" s="78"/>
      <c r="S242" s="78"/>
      <c r="T242" s="78"/>
      <c r="U242" s="24"/>
      <c r="V242" s="21">
        <f t="shared" si="90"/>
        <v>0</v>
      </c>
    </row>
    <row r="243" spans="1:22" ht="89.25">
      <c r="A243" s="5" t="s">
        <v>42</v>
      </c>
      <c r="B243" s="35" t="s">
        <v>150</v>
      </c>
      <c r="C243" s="148" t="s">
        <v>26</v>
      </c>
      <c r="D243" s="161">
        <v>8220000000</v>
      </c>
      <c r="E243" s="117"/>
      <c r="F243" s="117"/>
      <c r="G243" s="37"/>
      <c r="H243" s="39">
        <f aca="true" t="shared" si="91" ref="H243:T243">H244+H245+H246+H247+H248+H249+H250+H251+H252+H254+H255+H256+H257+H258+H259+H260+H261+H262+H263+H264+H266+H267+H253+H265+H268+H269</f>
        <v>8326500</v>
      </c>
      <c r="I243" s="39">
        <f t="shared" si="91"/>
        <v>677700</v>
      </c>
      <c r="J243" s="39">
        <f t="shared" si="91"/>
        <v>653890</v>
      </c>
      <c r="K243" s="39">
        <f t="shared" si="91"/>
        <v>667190</v>
      </c>
      <c r="L243" s="39">
        <f t="shared" si="91"/>
        <v>722790</v>
      </c>
      <c r="M243" s="39">
        <f t="shared" si="91"/>
        <v>633690</v>
      </c>
      <c r="N243" s="39">
        <f t="shared" si="91"/>
        <v>615550</v>
      </c>
      <c r="O243" s="39">
        <f t="shared" si="91"/>
        <v>670190</v>
      </c>
      <c r="P243" s="39">
        <f t="shared" si="91"/>
        <v>619690</v>
      </c>
      <c r="Q243" s="39">
        <f t="shared" si="91"/>
        <v>648590</v>
      </c>
      <c r="R243" s="39">
        <f t="shared" si="91"/>
        <v>750130</v>
      </c>
      <c r="S243" s="39">
        <f t="shared" si="91"/>
        <v>797490</v>
      </c>
      <c r="T243" s="39">
        <f t="shared" si="91"/>
        <v>869600</v>
      </c>
      <c r="U243" s="24">
        <f aca="true" t="shared" si="92" ref="U243:U269">I243+J243+K243+L243+M243+N243+O243+P243+Q243+R243+S243+T243</f>
        <v>8326500</v>
      </c>
      <c r="V243" s="21">
        <f t="shared" si="90"/>
        <v>8326500</v>
      </c>
    </row>
    <row r="244" spans="1:22" ht="25.5">
      <c r="A244" s="5" t="s">
        <v>42</v>
      </c>
      <c r="B244" s="3" t="s">
        <v>7</v>
      </c>
      <c r="C244" s="164" t="s">
        <v>26</v>
      </c>
      <c r="D244" s="162">
        <v>8220100270</v>
      </c>
      <c r="E244" s="162">
        <v>611</v>
      </c>
      <c r="F244" s="162">
        <v>211</v>
      </c>
      <c r="G244" s="87" t="s">
        <v>108</v>
      </c>
      <c r="H244" s="78">
        <v>5537600</v>
      </c>
      <c r="I244" s="78">
        <v>461100</v>
      </c>
      <c r="J244" s="78">
        <v>461500</v>
      </c>
      <c r="K244" s="78">
        <v>461500</v>
      </c>
      <c r="L244" s="78">
        <v>461500</v>
      </c>
      <c r="M244" s="78">
        <v>461500</v>
      </c>
      <c r="N244" s="78">
        <v>461500</v>
      </c>
      <c r="O244" s="78">
        <v>461500</v>
      </c>
      <c r="P244" s="78">
        <v>461500</v>
      </c>
      <c r="Q244" s="78">
        <v>461500</v>
      </c>
      <c r="R244" s="78">
        <v>461500</v>
      </c>
      <c r="S244" s="78">
        <v>461500</v>
      </c>
      <c r="T244" s="78">
        <v>461500</v>
      </c>
      <c r="U244" s="24">
        <f t="shared" si="92"/>
        <v>5537600</v>
      </c>
      <c r="V244" s="21">
        <f t="shared" si="90"/>
        <v>5537600</v>
      </c>
    </row>
    <row r="245" spans="1:22" ht="25.5">
      <c r="A245" s="5" t="s">
        <v>42</v>
      </c>
      <c r="B245" s="3" t="s">
        <v>9</v>
      </c>
      <c r="C245" s="164" t="s">
        <v>26</v>
      </c>
      <c r="D245" s="162">
        <v>8220100270</v>
      </c>
      <c r="E245" s="162">
        <v>611</v>
      </c>
      <c r="F245" s="162">
        <v>213</v>
      </c>
      <c r="G245" s="87" t="s">
        <v>108</v>
      </c>
      <c r="H245" s="78">
        <v>1672400</v>
      </c>
      <c r="I245" s="78">
        <v>139000</v>
      </c>
      <c r="J245" s="78">
        <v>139400</v>
      </c>
      <c r="K245" s="78">
        <v>139400</v>
      </c>
      <c r="L245" s="78">
        <v>139400</v>
      </c>
      <c r="M245" s="78">
        <v>139400</v>
      </c>
      <c r="N245" s="78">
        <v>139400</v>
      </c>
      <c r="O245" s="78">
        <v>139400</v>
      </c>
      <c r="P245" s="78">
        <v>139400</v>
      </c>
      <c r="Q245" s="78">
        <v>139400</v>
      </c>
      <c r="R245" s="78">
        <v>139400</v>
      </c>
      <c r="S245" s="78">
        <v>139400</v>
      </c>
      <c r="T245" s="78">
        <v>139400</v>
      </c>
      <c r="U245" s="24">
        <f t="shared" si="92"/>
        <v>1672400</v>
      </c>
      <c r="V245" s="21">
        <f t="shared" si="90"/>
        <v>1672400</v>
      </c>
    </row>
    <row r="246" spans="1:22" ht="12.75">
      <c r="A246" s="5" t="s">
        <v>42</v>
      </c>
      <c r="B246" s="3" t="s">
        <v>12</v>
      </c>
      <c r="C246" s="164" t="s">
        <v>26</v>
      </c>
      <c r="D246" s="162">
        <v>8220100270</v>
      </c>
      <c r="E246" s="162">
        <v>611</v>
      </c>
      <c r="F246" s="162">
        <v>221</v>
      </c>
      <c r="G246" s="85" t="s">
        <v>82</v>
      </c>
      <c r="H246" s="78">
        <v>24400</v>
      </c>
      <c r="I246" s="78">
        <v>2000</v>
      </c>
      <c r="J246" s="78">
        <v>2000</v>
      </c>
      <c r="K246" s="78">
        <v>2000</v>
      </c>
      <c r="L246" s="78">
        <v>2000</v>
      </c>
      <c r="M246" s="78">
        <v>2000</v>
      </c>
      <c r="N246" s="78">
        <v>2000</v>
      </c>
      <c r="O246" s="78">
        <v>2000</v>
      </c>
      <c r="P246" s="78">
        <v>2000</v>
      </c>
      <c r="Q246" s="78">
        <v>2000</v>
      </c>
      <c r="R246" s="78">
        <v>2000</v>
      </c>
      <c r="S246" s="78">
        <v>2000</v>
      </c>
      <c r="T246" s="78">
        <v>2400</v>
      </c>
      <c r="U246" s="24">
        <f t="shared" si="92"/>
        <v>24400</v>
      </c>
      <c r="V246" s="21">
        <f t="shared" si="90"/>
        <v>24400</v>
      </c>
    </row>
    <row r="247" spans="1:22" ht="12.75">
      <c r="A247" s="5" t="s">
        <v>42</v>
      </c>
      <c r="B247" s="3" t="s">
        <v>12</v>
      </c>
      <c r="C247" s="164" t="s">
        <v>26</v>
      </c>
      <c r="D247" s="162">
        <v>8220100270</v>
      </c>
      <c r="E247" s="162">
        <v>611</v>
      </c>
      <c r="F247" s="162">
        <v>221</v>
      </c>
      <c r="G247" s="85" t="s">
        <v>83</v>
      </c>
      <c r="H247" s="78">
        <v>10600</v>
      </c>
      <c r="I247" s="78">
        <v>800</v>
      </c>
      <c r="J247" s="78">
        <v>890</v>
      </c>
      <c r="K247" s="78">
        <v>890</v>
      </c>
      <c r="L247" s="78">
        <v>890</v>
      </c>
      <c r="M247" s="78">
        <v>890</v>
      </c>
      <c r="N247" s="78">
        <v>890</v>
      </c>
      <c r="O247" s="78">
        <v>890</v>
      </c>
      <c r="P247" s="78">
        <v>890</v>
      </c>
      <c r="Q247" s="78">
        <v>890</v>
      </c>
      <c r="R247" s="78">
        <v>890</v>
      </c>
      <c r="S247" s="78">
        <v>890</v>
      </c>
      <c r="T247" s="78">
        <v>900</v>
      </c>
      <c r="U247" s="24">
        <f t="shared" si="92"/>
        <v>10600</v>
      </c>
      <c r="V247" s="21">
        <f t="shared" si="90"/>
        <v>10600</v>
      </c>
    </row>
    <row r="248" spans="1:22" ht="12.75">
      <c r="A248" s="5" t="s">
        <v>42</v>
      </c>
      <c r="B248" s="3" t="s">
        <v>13</v>
      </c>
      <c r="C248" s="164" t="s">
        <v>26</v>
      </c>
      <c r="D248" s="162">
        <v>8220100270</v>
      </c>
      <c r="E248" s="162">
        <v>611</v>
      </c>
      <c r="F248" s="162">
        <v>223</v>
      </c>
      <c r="G248" s="87" t="s">
        <v>84</v>
      </c>
      <c r="H248" s="78">
        <v>121300</v>
      </c>
      <c r="I248" s="78">
        <v>10000</v>
      </c>
      <c r="J248" s="78">
        <v>15000</v>
      </c>
      <c r="K248" s="78">
        <v>10000</v>
      </c>
      <c r="L248" s="78">
        <v>10000</v>
      </c>
      <c r="M248" s="78">
        <v>8000</v>
      </c>
      <c r="N248" s="78">
        <v>3060</v>
      </c>
      <c r="O248" s="78">
        <v>5000</v>
      </c>
      <c r="P248" s="78">
        <v>5000</v>
      </c>
      <c r="Q248" s="78">
        <v>10000</v>
      </c>
      <c r="R248" s="78">
        <v>15140</v>
      </c>
      <c r="S248" s="78">
        <v>15000</v>
      </c>
      <c r="T248" s="78">
        <v>15100</v>
      </c>
      <c r="U248" s="24">
        <f t="shared" si="92"/>
        <v>121300</v>
      </c>
      <c r="V248" s="21">
        <f t="shared" si="90"/>
        <v>121300</v>
      </c>
    </row>
    <row r="249" spans="1:22" ht="12.75">
      <c r="A249" s="5" t="s">
        <v>42</v>
      </c>
      <c r="B249" s="3" t="s">
        <v>13</v>
      </c>
      <c r="C249" s="164" t="s">
        <v>26</v>
      </c>
      <c r="D249" s="162">
        <v>8220100270</v>
      </c>
      <c r="E249" s="162">
        <v>611</v>
      </c>
      <c r="F249" s="162">
        <v>223</v>
      </c>
      <c r="G249" s="87" t="s">
        <v>85</v>
      </c>
      <c r="H249" s="78">
        <v>13000</v>
      </c>
      <c r="I249" s="78">
        <v>900</v>
      </c>
      <c r="J249" s="78">
        <v>900</v>
      </c>
      <c r="K249" s="78">
        <v>900</v>
      </c>
      <c r="L249" s="78">
        <v>900</v>
      </c>
      <c r="M249" s="78">
        <v>1000</v>
      </c>
      <c r="N249" s="78">
        <v>1600</v>
      </c>
      <c r="O249" s="78">
        <v>1600</v>
      </c>
      <c r="P249" s="78">
        <v>1500</v>
      </c>
      <c r="Q249" s="78">
        <v>1000</v>
      </c>
      <c r="R249" s="78">
        <v>900</v>
      </c>
      <c r="S249" s="78">
        <v>900</v>
      </c>
      <c r="T249" s="78">
        <v>900</v>
      </c>
      <c r="U249" s="24">
        <f t="shared" si="92"/>
        <v>13000</v>
      </c>
      <c r="V249" s="21">
        <f t="shared" si="90"/>
        <v>13000</v>
      </c>
    </row>
    <row r="250" spans="1:22" ht="25.5">
      <c r="A250" s="83" t="s">
        <v>42</v>
      </c>
      <c r="B250" s="3" t="s">
        <v>13</v>
      </c>
      <c r="C250" s="164" t="s">
        <v>26</v>
      </c>
      <c r="D250" s="162">
        <v>8220100270</v>
      </c>
      <c r="E250" s="162">
        <v>611</v>
      </c>
      <c r="F250" s="162">
        <v>223</v>
      </c>
      <c r="G250" s="87" t="s">
        <v>81</v>
      </c>
      <c r="H250" s="78">
        <v>379000</v>
      </c>
      <c r="I250" s="78">
        <v>50000</v>
      </c>
      <c r="J250" s="78">
        <v>20000</v>
      </c>
      <c r="K250" s="78">
        <v>41200</v>
      </c>
      <c r="L250" s="78">
        <v>30000</v>
      </c>
      <c r="M250" s="78">
        <v>0</v>
      </c>
      <c r="N250" s="78">
        <v>0</v>
      </c>
      <c r="O250" s="78">
        <v>0</v>
      </c>
      <c r="P250" s="78">
        <v>0</v>
      </c>
      <c r="Q250" s="78">
        <v>0</v>
      </c>
      <c r="R250" s="78">
        <v>30000</v>
      </c>
      <c r="S250" s="78">
        <v>101400</v>
      </c>
      <c r="T250" s="78">
        <v>106400</v>
      </c>
      <c r="U250" s="24">
        <f t="shared" si="92"/>
        <v>379000</v>
      </c>
      <c r="V250" s="21">
        <f t="shared" si="90"/>
        <v>379000</v>
      </c>
    </row>
    <row r="251" spans="1:22" ht="25.5">
      <c r="A251" s="5" t="s">
        <v>42</v>
      </c>
      <c r="B251" s="72" t="s">
        <v>71</v>
      </c>
      <c r="C251" s="164" t="s">
        <v>26</v>
      </c>
      <c r="D251" s="162">
        <v>8220100270</v>
      </c>
      <c r="E251" s="162">
        <v>611</v>
      </c>
      <c r="F251" s="162">
        <v>225</v>
      </c>
      <c r="G251" s="87" t="s">
        <v>48</v>
      </c>
      <c r="H251" s="78">
        <v>58000</v>
      </c>
      <c r="I251" s="78">
        <v>0</v>
      </c>
      <c r="J251" s="78">
        <v>0</v>
      </c>
      <c r="K251" s="78">
        <v>0</v>
      </c>
      <c r="L251" s="78">
        <v>17000</v>
      </c>
      <c r="M251" s="78">
        <v>6500</v>
      </c>
      <c r="N251" s="78">
        <v>0</v>
      </c>
      <c r="O251" s="78">
        <v>0</v>
      </c>
      <c r="P251" s="78">
        <v>0</v>
      </c>
      <c r="Q251" s="78">
        <v>0</v>
      </c>
      <c r="R251" s="78">
        <v>26600</v>
      </c>
      <c r="S251" s="78">
        <v>7900</v>
      </c>
      <c r="T251" s="78">
        <v>0</v>
      </c>
      <c r="U251" s="24">
        <f t="shared" si="92"/>
        <v>58000</v>
      </c>
      <c r="V251" s="21">
        <f t="shared" si="90"/>
        <v>58000</v>
      </c>
    </row>
    <row r="252" spans="1:22" ht="12.75" hidden="1">
      <c r="A252" s="5" t="s">
        <v>42</v>
      </c>
      <c r="B252" s="3" t="s">
        <v>15</v>
      </c>
      <c r="C252" s="128" t="s">
        <v>26</v>
      </c>
      <c r="D252" s="127">
        <v>8220100270</v>
      </c>
      <c r="E252" s="127">
        <v>611</v>
      </c>
      <c r="F252" s="113">
        <v>226</v>
      </c>
      <c r="G252" s="87" t="s">
        <v>48</v>
      </c>
      <c r="H252" s="78">
        <v>0</v>
      </c>
      <c r="I252" s="78">
        <v>0</v>
      </c>
      <c r="J252" s="78">
        <v>0</v>
      </c>
      <c r="K252" s="78">
        <v>0</v>
      </c>
      <c r="L252" s="78">
        <v>0</v>
      </c>
      <c r="M252" s="78">
        <v>0</v>
      </c>
      <c r="N252" s="78">
        <v>0</v>
      </c>
      <c r="O252" s="78">
        <v>0</v>
      </c>
      <c r="P252" s="78">
        <v>0</v>
      </c>
      <c r="Q252" s="78">
        <v>0</v>
      </c>
      <c r="R252" s="78">
        <v>0</v>
      </c>
      <c r="S252" s="78">
        <v>0</v>
      </c>
      <c r="T252" s="78">
        <v>0</v>
      </c>
      <c r="U252" s="24">
        <f t="shared" si="92"/>
        <v>0</v>
      </c>
      <c r="V252" s="21">
        <f t="shared" si="90"/>
        <v>0</v>
      </c>
    </row>
    <row r="253" spans="1:22" ht="12.75">
      <c r="A253" s="5" t="s">
        <v>42</v>
      </c>
      <c r="B253" s="3" t="s">
        <v>16</v>
      </c>
      <c r="C253" s="164" t="s">
        <v>26</v>
      </c>
      <c r="D253" s="162">
        <v>8220100270</v>
      </c>
      <c r="E253" s="162">
        <v>611</v>
      </c>
      <c r="F253" s="144">
        <v>290</v>
      </c>
      <c r="G253" s="87" t="s">
        <v>89</v>
      </c>
      <c r="H253" s="78">
        <v>113300</v>
      </c>
      <c r="I253" s="78">
        <v>0</v>
      </c>
      <c r="J253" s="78">
        <v>0</v>
      </c>
      <c r="K253" s="78">
        <v>0</v>
      </c>
      <c r="L253" s="78">
        <v>28300</v>
      </c>
      <c r="M253" s="78">
        <v>0</v>
      </c>
      <c r="N253" s="78">
        <v>0</v>
      </c>
      <c r="O253" s="78">
        <v>25000</v>
      </c>
      <c r="P253" s="78">
        <v>0</v>
      </c>
      <c r="Q253" s="78">
        <v>0</v>
      </c>
      <c r="R253" s="78">
        <v>25000</v>
      </c>
      <c r="S253" s="78">
        <v>0</v>
      </c>
      <c r="T253" s="78">
        <v>35000</v>
      </c>
      <c r="U253" s="24">
        <f t="shared" si="92"/>
        <v>113300</v>
      </c>
      <c r="V253" s="21">
        <f t="shared" si="90"/>
        <v>113300</v>
      </c>
    </row>
    <row r="254" spans="1:22" ht="12.75" hidden="1">
      <c r="A254" s="5" t="s">
        <v>42</v>
      </c>
      <c r="B254" s="3" t="s">
        <v>17</v>
      </c>
      <c r="C254" s="128" t="s">
        <v>26</v>
      </c>
      <c r="D254" s="127">
        <v>8220100270</v>
      </c>
      <c r="E254" s="127">
        <v>611</v>
      </c>
      <c r="F254" s="113">
        <v>340</v>
      </c>
      <c r="G254" s="87" t="s">
        <v>48</v>
      </c>
      <c r="H254" s="78">
        <v>0</v>
      </c>
      <c r="I254" s="78">
        <v>0</v>
      </c>
      <c r="J254" s="78">
        <v>0</v>
      </c>
      <c r="K254" s="78">
        <v>0</v>
      </c>
      <c r="L254" s="78">
        <v>0</v>
      </c>
      <c r="M254" s="78">
        <v>0</v>
      </c>
      <c r="N254" s="78">
        <v>0</v>
      </c>
      <c r="O254" s="78">
        <v>0</v>
      </c>
      <c r="P254" s="78">
        <v>0</v>
      </c>
      <c r="Q254" s="78">
        <v>0</v>
      </c>
      <c r="R254" s="78">
        <v>0</v>
      </c>
      <c r="S254" s="78">
        <v>0</v>
      </c>
      <c r="T254" s="78">
        <v>0</v>
      </c>
      <c r="U254" s="24">
        <f t="shared" si="92"/>
        <v>0</v>
      </c>
      <c r="V254" s="21">
        <f t="shared" si="90"/>
        <v>0</v>
      </c>
    </row>
    <row r="255" spans="1:22" ht="12.75" hidden="1">
      <c r="A255" s="5" t="s">
        <v>42</v>
      </c>
      <c r="B255" s="3" t="s">
        <v>18</v>
      </c>
      <c r="C255" s="128" t="s">
        <v>26</v>
      </c>
      <c r="D255" s="127">
        <v>8220100270</v>
      </c>
      <c r="E255" s="127">
        <v>611</v>
      </c>
      <c r="F255" s="113">
        <v>310</v>
      </c>
      <c r="G255" s="87" t="s">
        <v>48</v>
      </c>
      <c r="H255" s="78">
        <v>0</v>
      </c>
      <c r="I255" s="78">
        <v>0</v>
      </c>
      <c r="J255" s="78">
        <v>0</v>
      </c>
      <c r="K255" s="78">
        <v>0</v>
      </c>
      <c r="L255" s="78">
        <v>0</v>
      </c>
      <c r="M255" s="78">
        <v>0</v>
      </c>
      <c r="N255" s="78">
        <v>0</v>
      </c>
      <c r="O255" s="78">
        <v>0</v>
      </c>
      <c r="P255" s="78">
        <v>0</v>
      </c>
      <c r="Q255" s="78">
        <v>0</v>
      </c>
      <c r="R255" s="78">
        <v>0</v>
      </c>
      <c r="S255" s="78">
        <v>0</v>
      </c>
      <c r="T255" s="78">
        <v>0</v>
      </c>
      <c r="U255" s="24">
        <f t="shared" si="92"/>
        <v>0</v>
      </c>
      <c r="V255" s="21">
        <f t="shared" si="90"/>
        <v>0</v>
      </c>
    </row>
    <row r="256" spans="1:22" ht="12.75" hidden="1">
      <c r="A256" s="5" t="s">
        <v>42</v>
      </c>
      <c r="B256" s="3" t="s">
        <v>7</v>
      </c>
      <c r="C256" s="128" t="s">
        <v>26</v>
      </c>
      <c r="D256" s="127">
        <v>8220100270</v>
      </c>
      <c r="E256" s="127">
        <v>611</v>
      </c>
      <c r="F256" s="127">
        <v>211</v>
      </c>
      <c r="G256" s="85" t="s">
        <v>78</v>
      </c>
      <c r="H256" s="78">
        <v>0</v>
      </c>
      <c r="I256" s="78">
        <v>0</v>
      </c>
      <c r="J256" s="78">
        <v>0</v>
      </c>
      <c r="K256" s="78">
        <v>0</v>
      </c>
      <c r="L256" s="78">
        <v>0</v>
      </c>
      <c r="M256" s="78">
        <v>0</v>
      </c>
      <c r="N256" s="78">
        <v>0</v>
      </c>
      <c r="O256" s="78">
        <v>0</v>
      </c>
      <c r="P256" s="78">
        <v>0</v>
      </c>
      <c r="Q256" s="78">
        <v>0</v>
      </c>
      <c r="R256" s="78">
        <v>0</v>
      </c>
      <c r="S256" s="78">
        <v>0</v>
      </c>
      <c r="T256" s="78">
        <v>0</v>
      </c>
      <c r="U256" s="24">
        <f t="shared" si="92"/>
        <v>0</v>
      </c>
      <c r="V256" s="21">
        <f t="shared" si="90"/>
        <v>0</v>
      </c>
    </row>
    <row r="257" spans="1:22" ht="12.75" hidden="1">
      <c r="A257" s="5" t="s">
        <v>42</v>
      </c>
      <c r="B257" s="3" t="s">
        <v>9</v>
      </c>
      <c r="C257" s="128" t="s">
        <v>26</v>
      </c>
      <c r="D257" s="127">
        <v>8220100270</v>
      </c>
      <c r="E257" s="127">
        <v>611</v>
      </c>
      <c r="F257" s="127">
        <v>213</v>
      </c>
      <c r="G257" s="85" t="s">
        <v>78</v>
      </c>
      <c r="H257" s="78">
        <v>0</v>
      </c>
      <c r="I257" s="78">
        <v>0</v>
      </c>
      <c r="J257" s="78">
        <v>0</v>
      </c>
      <c r="K257" s="78">
        <v>0</v>
      </c>
      <c r="L257" s="78">
        <v>0</v>
      </c>
      <c r="M257" s="78">
        <v>0</v>
      </c>
      <c r="N257" s="78">
        <v>0</v>
      </c>
      <c r="O257" s="78">
        <v>0</v>
      </c>
      <c r="P257" s="78">
        <v>0</v>
      </c>
      <c r="Q257" s="78">
        <v>0</v>
      </c>
      <c r="R257" s="78">
        <v>0</v>
      </c>
      <c r="S257" s="78">
        <v>0</v>
      </c>
      <c r="T257" s="78">
        <v>0</v>
      </c>
      <c r="U257" s="24">
        <f t="shared" si="92"/>
        <v>0</v>
      </c>
      <c r="V257" s="21">
        <f t="shared" si="90"/>
        <v>0</v>
      </c>
    </row>
    <row r="258" spans="1:22" ht="25.5">
      <c r="A258" s="83" t="s">
        <v>42</v>
      </c>
      <c r="B258" s="3" t="s">
        <v>12</v>
      </c>
      <c r="C258" s="164" t="s">
        <v>26</v>
      </c>
      <c r="D258" s="162">
        <v>8220100270</v>
      </c>
      <c r="E258" s="162">
        <v>611</v>
      </c>
      <c r="F258" s="162">
        <v>221</v>
      </c>
      <c r="G258" s="87" t="s">
        <v>79</v>
      </c>
      <c r="H258" s="78">
        <v>51400</v>
      </c>
      <c r="I258" s="78">
        <v>4000</v>
      </c>
      <c r="J258" s="78">
        <v>4300</v>
      </c>
      <c r="K258" s="78">
        <v>4300</v>
      </c>
      <c r="L258" s="78">
        <v>4300</v>
      </c>
      <c r="M258" s="78">
        <v>4300</v>
      </c>
      <c r="N258" s="78">
        <v>4300</v>
      </c>
      <c r="O258" s="78">
        <v>4300</v>
      </c>
      <c r="P258" s="78">
        <v>4300</v>
      </c>
      <c r="Q258" s="78">
        <v>4300</v>
      </c>
      <c r="R258" s="78">
        <v>4300</v>
      </c>
      <c r="S258" s="78">
        <v>4300</v>
      </c>
      <c r="T258" s="78">
        <v>4400</v>
      </c>
      <c r="U258" s="24">
        <f t="shared" si="92"/>
        <v>51400</v>
      </c>
      <c r="V258" s="21">
        <f t="shared" si="90"/>
        <v>51400</v>
      </c>
    </row>
    <row r="259" spans="1:22" ht="25.5">
      <c r="A259" s="83" t="s">
        <v>42</v>
      </c>
      <c r="B259" s="3" t="s">
        <v>12</v>
      </c>
      <c r="C259" s="164" t="s">
        <v>26</v>
      </c>
      <c r="D259" s="162">
        <v>8220100270</v>
      </c>
      <c r="E259" s="162">
        <v>611</v>
      </c>
      <c r="F259" s="162">
        <v>221</v>
      </c>
      <c r="G259" s="87" t="s">
        <v>80</v>
      </c>
      <c r="H259" s="78">
        <v>7200</v>
      </c>
      <c r="I259" s="78">
        <v>600</v>
      </c>
      <c r="J259" s="78">
        <v>600</v>
      </c>
      <c r="K259" s="78">
        <v>600</v>
      </c>
      <c r="L259" s="78">
        <v>600</v>
      </c>
      <c r="M259" s="78">
        <v>600</v>
      </c>
      <c r="N259" s="78">
        <v>600</v>
      </c>
      <c r="O259" s="78">
        <v>600</v>
      </c>
      <c r="P259" s="78">
        <v>600</v>
      </c>
      <c r="Q259" s="78">
        <v>600</v>
      </c>
      <c r="R259" s="78">
        <v>600</v>
      </c>
      <c r="S259" s="78">
        <v>600</v>
      </c>
      <c r="T259" s="78">
        <v>600</v>
      </c>
      <c r="U259" s="24">
        <f t="shared" si="92"/>
        <v>7200</v>
      </c>
      <c r="V259" s="21">
        <f t="shared" si="90"/>
        <v>7200</v>
      </c>
    </row>
    <row r="260" spans="1:22" ht="25.5">
      <c r="A260" s="5" t="s">
        <v>42</v>
      </c>
      <c r="B260" s="3" t="s">
        <v>13</v>
      </c>
      <c r="C260" s="164" t="s">
        <v>26</v>
      </c>
      <c r="D260" s="162">
        <v>8220100270</v>
      </c>
      <c r="E260" s="162">
        <v>611</v>
      </c>
      <c r="F260" s="162">
        <v>223</v>
      </c>
      <c r="G260" s="87" t="s">
        <v>86</v>
      </c>
      <c r="H260" s="78">
        <v>54700</v>
      </c>
      <c r="I260" s="78">
        <v>5000</v>
      </c>
      <c r="J260" s="78">
        <v>5000</v>
      </c>
      <c r="K260" s="78">
        <v>3000</v>
      </c>
      <c r="L260" s="78">
        <v>3000</v>
      </c>
      <c r="M260" s="78">
        <v>3000</v>
      </c>
      <c r="N260" s="78">
        <v>1700</v>
      </c>
      <c r="O260" s="78">
        <v>4000</v>
      </c>
      <c r="P260" s="78">
        <v>4000</v>
      </c>
      <c r="Q260" s="78">
        <v>4000</v>
      </c>
      <c r="R260" s="78">
        <v>5000</v>
      </c>
      <c r="S260" s="78">
        <v>8500</v>
      </c>
      <c r="T260" s="78">
        <v>8500</v>
      </c>
      <c r="U260" s="24">
        <f t="shared" si="92"/>
        <v>54700</v>
      </c>
      <c r="V260" s="21">
        <f t="shared" si="90"/>
        <v>54700</v>
      </c>
    </row>
    <row r="261" spans="1:22" ht="25.5">
      <c r="A261" s="5" t="s">
        <v>42</v>
      </c>
      <c r="B261" s="3" t="s">
        <v>13</v>
      </c>
      <c r="C261" s="164" t="s">
        <v>26</v>
      </c>
      <c r="D261" s="162">
        <v>8220100270</v>
      </c>
      <c r="E261" s="162">
        <v>611</v>
      </c>
      <c r="F261" s="162">
        <v>223</v>
      </c>
      <c r="G261" s="87" t="s">
        <v>87</v>
      </c>
      <c r="H261" s="78">
        <v>5000</v>
      </c>
      <c r="I261" s="78">
        <v>300</v>
      </c>
      <c r="J261" s="78">
        <v>300</v>
      </c>
      <c r="K261" s="78">
        <v>400</v>
      </c>
      <c r="L261" s="78">
        <v>400</v>
      </c>
      <c r="M261" s="78">
        <v>500</v>
      </c>
      <c r="N261" s="78">
        <v>500</v>
      </c>
      <c r="O261" s="78">
        <v>500</v>
      </c>
      <c r="P261" s="78">
        <v>500</v>
      </c>
      <c r="Q261" s="78">
        <v>400</v>
      </c>
      <c r="R261" s="78">
        <v>400</v>
      </c>
      <c r="S261" s="78">
        <v>400</v>
      </c>
      <c r="T261" s="78">
        <v>400</v>
      </c>
      <c r="U261" s="24">
        <f t="shared" si="92"/>
        <v>5000</v>
      </c>
      <c r="V261" s="21">
        <f t="shared" si="90"/>
        <v>5000</v>
      </c>
    </row>
    <row r="262" spans="1:22" ht="25.5">
      <c r="A262" s="5" t="s">
        <v>42</v>
      </c>
      <c r="B262" s="3" t="s">
        <v>13</v>
      </c>
      <c r="C262" s="164" t="s">
        <v>26</v>
      </c>
      <c r="D262" s="162">
        <v>8220100270</v>
      </c>
      <c r="E262" s="162">
        <v>611</v>
      </c>
      <c r="F262" s="162">
        <v>223</v>
      </c>
      <c r="G262" s="87" t="s">
        <v>88</v>
      </c>
      <c r="H262" s="78">
        <v>27000</v>
      </c>
      <c r="I262" s="78">
        <v>4000</v>
      </c>
      <c r="J262" s="78">
        <v>4000</v>
      </c>
      <c r="K262" s="78">
        <v>3000</v>
      </c>
      <c r="L262" s="78">
        <v>3000</v>
      </c>
      <c r="M262" s="78">
        <v>0</v>
      </c>
      <c r="N262" s="78">
        <v>0</v>
      </c>
      <c r="O262" s="78">
        <v>0</v>
      </c>
      <c r="P262" s="78">
        <v>0</v>
      </c>
      <c r="Q262" s="78">
        <v>0</v>
      </c>
      <c r="R262" s="78">
        <v>3000</v>
      </c>
      <c r="S262" s="78">
        <v>4000</v>
      </c>
      <c r="T262" s="78">
        <v>6000</v>
      </c>
      <c r="U262" s="24">
        <f t="shared" si="92"/>
        <v>27000</v>
      </c>
      <c r="V262" s="21">
        <f t="shared" si="90"/>
        <v>27000</v>
      </c>
    </row>
    <row r="263" spans="1:22" ht="25.5" hidden="1">
      <c r="A263" s="5" t="s">
        <v>42</v>
      </c>
      <c r="B263" s="72" t="s">
        <v>71</v>
      </c>
      <c r="C263" s="164" t="s">
        <v>26</v>
      </c>
      <c r="D263" s="162">
        <v>8220100270</v>
      </c>
      <c r="E263" s="162">
        <v>611</v>
      </c>
      <c r="F263" s="162">
        <v>225</v>
      </c>
      <c r="G263" s="85" t="s">
        <v>78</v>
      </c>
      <c r="H263" s="78">
        <v>0</v>
      </c>
      <c r="I263" s="78">
        <v>0</v>
      </c>
      <c r="J263" s="78">
        <v>0</v>
      </c>
      <c r="K263" s="78">
        <v>0</v>
      </c>
      <c r="L263" s="78">
        <v>0</v>
      </c>
      <c r="M263" s="78">
        <v>0</v>
      </c>
      <c r="N263" s="78">
        <v>0</v>
      </c>
      <c r="O263" s="78">
        <v>0</v>
      </c>
      <c r="P263" s="78">
        <v>0</v>
      </c>
      <c r="Q263" s="78">
        <v>0</v>
      </c>
      <c r="R263" s="78">
        <v>0</v>
      </c>
      <c r="S263" s="78">
        <v>0</v>
      </c>
      <c r="T263" s="78">
        <v>0</v>
      </c>
      <c r="U263" s="24">
        <f t="shared" si="92"/>
        <v>0</v>
      </c>
      <c r="V263" s="21">
        <f t="shared" si="90"/>
        <v>0</v>
      </c>
    </row>
    <row r="264" spans="1:22" ht="17.25" customHeight="1">
      <c r="A264" s="5" t="s">
        <v>42</v>
      </c>
      <c r="B264" s="3" t="s">
        <v>15</v>
      </c>
      <c r="C264" s="164" t="s">
        <v>26</v>
      </c>
      <c r="D264" s="162">
        <v>8220100270</v>
      </c>
      <c r="E264" s="162">
        <v>611</v>
      </c>
      <c r="F264" s="144">
        <v>226</v>
      </c>
      <c r="G264" s="85" t="s">
        <v>78</v>
      </c>
      <c r="H264" s="78">
        <v>80000</v>
      </c>
      <c r="I264" s="78">
        <v>0</v>
      </c>
      <c r="J264" s="78">
        <v>0</v>
      </c>
      <c r="K264" s="78">
        <v>0</v>
      </c>
      <c r="L264" s="78">
        <v>5000</v>
      </c>
      <c r="M264" s="78">
        <v>6000</v>
      </c>
      <c r="N264" s="78">
        <v>0</v>
      </c>
      <c r="O264" s="78">
        <v>8900</v>
      </c>
      <c r="P264" s="78">
        <v>0</v>
      </c>
      <c r="Q264" s="78">
        <v>24500</v>
      </c>
      <c r="R264" s="78">
        <v>18900</v>
      </c>
      <c r="S264" s="78">
        <v>16700</v>
      </c>
      <c r="T264" s="78">
        <v>0</v>
      </c>
      <c r="U264" s="24">
        <f t="shared" si="92"/>
        <v>80000</v>
      </c>
      <c r="V264" s="21">
        <f t="shared" si="90"/>
        <v>80000</v>
      </c>
    </row>
    <row r="265" spans="1:22" ht="25.5">
      <c r="A265" s="5" t="s">
        <v>42</v>
      </c>
      <c r="B265" s="3" t="s">
        <v>16</v>
      </c>
      <c r="C265" s="164" t="s">
        <v>26</v>
      </c>
      <c r="D265" s="162">
        <v>8220100270</v>
      </c>
      <c r="E265" s="162">
        <v>611</v>
      </c>
      <c r="F265" s="153">
        <v>290</v>
      </c>
      <c r="G265" s="87" t="s">
        <v>90</v>
      </c>
      <c r="H265" s="78">
        <v>66600</v>
      </c>
      <c r="I265" s="78">
        <v>0</v>
      </c>
      <c r="J265" s="78">
        <v>0</v>
      </c>
      <c r="K265" s="78">
        <v>0</v>
      </c>
      <c r="L265" s="78">
        <v>16500</v>
      </c>
      <c r="M265" s="78">
        <v>0</v>
      </c>
      <c r="N265" s="78">
        <v>0</v>
      </c>
      <c r="O265" s="78">
        <v>16500</v>
      </c>
      <c r="P265" s="78">
        <v>0</v>
      </c>
      <c r="Q265" s="78">
        <v>0</v>
      </c>
      <c r="R265" s="78">
        <v>16500</v>
      </c>
      <c r="S265" s="78">
        <v>0</v>
      </c>
      <c r="T265" s="78">
        <v>17100</v>
      </c>
      <c r="U265" s="24">
        <f t="shared" si="92"/>
        <v>66600</v>
      </c>
      <c r="V265" s="21">
        <f t="shared" si="90"/>
        <v>66600</v>
      </c>
    </row>
    <row r="266" spans="1:22" ht="16.5" customHeight="1">
      <c r="A266" s="5" t="s">
        <v>42</v>
      </c>
      <c r="B266" s="3" t="s">
        <v>17</v>
      </c>
      <c r="C266" s="164" t="s">
        <v>26</v>
      </c>
      <c r="D266" s="162">
        <v>8220100270</v>
      </c>
      <c r="E266" s="162">
        <v>611</v>
      </c>
      <c r="F266" s="153">
        <v>340</v>
      </c>
      <c r="G266" s="85" t="s">
        <v>78</v>
      </c>
      <c r="H266" s="78">
        <v>105000</v>
      </c>
      <c r="I266" s="78">
        <v>0</v>
      </c>
      <c r="J266" s="78">
        <v>0</v>
      </c>
      <c r="K266" s="78">
        <v>0</v>
      </c>
      <c r="L266" s="78">
        <v>0</v>
      </c>
      <c r="M266" s="78">
        <v>0</v>
      </c>
      <c r="N266" s="78">
        <v>0</v>
      </c>
      <c r="O266" s="78">
        <v>0</v>
      </c>
      <c r="P266" s="78">
        <v>0</v>
      </c>
      <c r="Q266" s="78">
        <v>0</v>
      </c>
      <c r="R266" s="78">
        <v>0</v>
      </c>
      <c r="S266" s="78">
        <v>34000</v>
      </c>
      <c r="T266" s="78">
        <v>71000</v>
      </c>
      <c r="U266" s="24">
        <f t="shared" si="92"/>
        <v>105000</v>
      </c>
      <c r="V266" s="21">
        <f t="shared" si="90"/>
        <v>105000</v>
      </c>
    </row>
    <row r="267" spans="1:22" ht="15.75" customHeight="1" hidden="1">
      <c r="A267" s="5" t="s">
        <v>42</v>
      </c>
      <c r="B267" s="3" t="s">
        <v>18</v>
      </c>
      <c r="C267" s="128" t="s">
        <v>26</v>
      </c>
      <c r="D267" s="127">
        <v>8220100270</v>
      </c>
      <c r="E267" s="127">
        <v>611</v>
      </c>
      <c r="F267" s="120">
        <v>310</v>
      </c>
      <c r="G267" s="85" t="s">
        <v>78</v>
      </c>
      <c r="H267" s="78">
        <v>0</v>
      </c>
      <c r="I267" s="78">
        <v>0</v>
      </c>
      <c r="J267" s="78">
        <v>0</v>
      </c>
      <c r="K267" s="78">
        <v>0</v>
      </c>
      <c r="L267" s="78">
        <v>0</v>
      </c>
      <c r="M267" s="78">
        <v>0</v>
      </c>
      <c r="N267" s="78">
        <v>0</v>
      </c>
      <c r="O267" s="78">
        <v>0</v>
      </c>
      <c r="P267" s="78">
        <v>0</v>
      </c>
      <c r="Q267" s="78">
        <v>0</v>
      </c>
      <c r="R267" s="78">
        <v>0</v>
      </c>
      <c r="S267" s="78">
        <v>0</v>
      </c>
      <c r="T267" s="78">
        <v>0</v>
      </c>
      <c r="U267" s="24">
        <f t="shared" si="92"/>
        <v>0</v>
      </c>
      <c r="V267" s="21">
        <f t="shared" si="90"/>
        <v>0</v>
      </c>
    </row>
    <row r="268" spans="1:22" ht="12.75" hidden="1">
      <c r="A268" s="5" t="s">
        <v>42</v>
      </c>
      <c r="B268" s="3" t="s">
        <v>7</v>
      </c>
      <c r="C268" s="128" t="s">
        <v>26</v>
      </c>
      <c r="D268" s="127">
        <v>8220100270</v>
      </c>
      <c r="E268" s="127">
        <v>611</v>
      </c>
      <c r="F268" s="127">
        <v>211</v>
      </c>
      <c r="G268" s="85" t="s">
        <v>91</v>
      </c>
      <c r="H268" s="78">
        <v>0</v>
      </c>
      <c r="I268" s="78">
        <v>0</v>
      </c>
      <c r="J268" s="78">
        <v>0</v>
      </c>
      <c r="K268" s="78">
        <v>0</v>
      </c>
      <c r="L268" s="78">
        <v>0</v>
      </c>
      <c r="M268" s="78">
        <v>0</v>
      </c>
      <c r="N268" s="78">
        <v>0</v>
      </c>
      <c r="O268" s="78">
        <v>0</v>
      </c>
      <c r="P268" s="78">
        <v>0</v>
      </c>
      <c r="Q268" s="78">
        <v>0</v>
      </c>
      <c r="R268" s="78">
        <v>0</v>
      </c>
      <c r="S268" s="78">
        <v>0</v>
      </c>
      <c r="T268" s="78">
        <v>0</v>
      </c>
      <c r="U268" s="24">
        <f t="shared" si="92"/>
        <v>0</v>
      </c>
      <c r="V268" s="21">
        <f t="shared" si="90"/>
        <v>0</v>
      </c>
    </row>
    <row r="269" spans="1:22" ht="12.75" hidden="1">
      <c r="A269" s="5" t="s">
        <v>42</v>
      </c>
      <c r="B269" s="3" t="s">
        <v>9</v>
      </c>
      <c r="C269" s="128" t="s">
        <v>26</v>
      </c>
      <c r="D269" s="127">
        <v>8220100270</v>
      </c>
      <c r="E269" s="127">
        <v>611</v>
      </c>
      <c r="F269" s="127">
        <v>213</v>
      </c>
      <c r="G269" s="85" t="s">
        <v>91</v>
      </c>
      <c r="H269" s="89">
        <v>0</v>
      </c>
      <c r="I269" s="89">
        <v>0</v>
      </c>
      <c r="J269" s="89">
        <v>0</v>
      </c>
      <c r="K269" s="89">
        <v>0</v>
      </c>
      <c r="L269" s="89">
        <v>0</v>
      </c>
      <c r="M269" s="89">
        <v>0</v>
      </c>
      <c r="N269" s="89">
        <v>0</v>
      </c>
      <c r="O269" s="89">
        <v>0</v>
      </c>
      <c r="P269" s="89">
        <v>0</v>
      </c>
      <c r="Q269" s="89">
        <v>0</v>
      </c>
      <c r="R269" s="89">
        <v>0</v>
      </c>
      <c r="S269" s="89">
        <v>0</v>
      </c>
      <c r="T269" s="89">
        <v>0</v>
      </c>
      <c r="U269" s="24">
        <f t="shared" si="92"/>
        <v>0</v>
      </c>
      <c r="V269" s="21">
        <f t="shared" si="90"/>
        <v>0</v>
      </c>
    </row>
    <row r="270" spans="1:22" ht="12.75">
      <c r="A270" s="5"/>
      <c r="B270" s="88"/>
      <c r="C270" s="128"/>
      <c r="D270" s="127"/>
      <c r="E270" s="127"/>
      <c r="F270" s="127"/>
      <c r="G270" s="86"/>
      <c r="H270" s="89"/>
      <c r="I270" s="89"/>
      <c r="J270" s="89"/>
      <c r="K270" s="89"/>
      <c r="L270" s="89"/>
      <c r="M270" s="89"/>
      <c r="N270" s="89"/>
      <c r="O270" s="89"/>
      <c r="P270" s="89"/>
      <c r="Q270" s="89"/>
      <c r="R270" s="89"/>
      <c r="S270" s="89"/>
      <c r="T270" s="89"/>
      <c r="U270" s="24"/>
      <c r="V270" s="21">
        <f t="shared" si="90"/>
        <v>0</v>
      </c>
    </row>
    <row r="271" spans="1:22" ht="76.5">
      <c r="A271" s="5" t="s">
        <v>42</v>
      </c>
      <c r="B271" s="35" t="s">
        <v>151</v>
      </c>
      <c r="C271" s="148" t="s">
        <v>26</v>
      </c>
      <c r="D271" s="161">
        <v>8230000000</v>
      </c>
      <c r="E271" s="161"/>
      <c r="F271" s="161"/>
      <c r="G271" s="37"/>
      <c r="H271" s="39">
        <f aca="true" t="shared" si="93" ref="H271:T271">H272+H273+H274+H275+H276+H277</f>
        <v>3458700</v>
      </c>
      <c r="I271" s="39">
        <f t="shared" si="93"/>
        <v>287400</v>
      </c>
      <c r="J271" s="39">
        <f t="shared" si="93"/>
        <v>178300</v>
      </c>
      <c r="K271" s="39">
        <f t="shared" si="93"/>
        <v>188300</v>
      </c>
      <c r="L271" s="39">
        <f t="shared" si="93"/>
        <v>288300</v>
      </c>
      <c r="M271" s="39">
        <f t="shared" si="93"/>
        <v>288300</v>
      </c>
      <c r="N271" s="39">
        <f t="shared" si="93"/>
        <v>288300</v>
      </c>
      <c r="O271" s="39">
        <f t="shared" si="93"/>
        <v>288300</v>
      </c>
      <c r="P271" s="39">
        <f t="shared" si="93"/>
        <v>288300</v>
      </c>
      <c r="Q271" s="39">
        <f t="shared" si="93"/>
        <v>288300</v>
      </c>
      <c r="R271" s="39">
        <f t="shared" si="93"/>
        <v>398300</v>
      </c>
      <c r="S271" s="39">
        <f t="shared" si="93"/>
        <v>388300</v>
      </c>
      <c r="T271" s="39">
        <f t="shared" si="93"/>
        <v>288300</v>
      </c>
      <c r="U271" s="24">
        <f aca="true" t="shared" si="94" ref="U271:U284">I271+J271+K271+L271+M271+N271+O271+P271+Q271+R271+S271+T271</f>
        <v>3458700</v>
      </c>
      <c r="V271" s="21">
        <f t="shared" si="90"/>
        <v>3458700</v>
      </c>
    </row>
    <row r="272" spans="1:22" ht="31.5" customHeight="1">
      <c r="A272" s="5" t="s">
        <v>42</v>
      </c>
      <c r="B272" s="3" t="s">
        <v>7</v>
      </c>
      <c r="C272" s="164" t="s">
        <v>26</v>
      </c>
      <c r="D272" s="162">
        <v>8230110410</v>
      </c>
      <c r="E272" s="162">
        <v>611</v>
      </c>
      <c r="F272" s="162">
        <v>211</v>
      </c>
      <c r="G272" s="229" t="s">
        <v>152</v>
      </c>
      <c r="H272" s="89">
        <v>2656500</v>
      </c>
      <c r="I272" s="89">
        <v>221100</v>
      </c>
      <c r="J272" s="89">
        <f>221400-100000</f>
        <v>121400</v>
      </c>
      <c r="K272" s="89">
        <v>121400</v>
      </c>
      <c r="L272" s="89">
        <v>221400</v>
      </c>
      <c r="M272" s="89">
        <v>221400</v>
      </c>
      <c r="N272" s="89">
        <v>221400</v>
      </c>
      <c r="O272" s="89">
        <v>221400</v>
      </c>
      <c r="P272" s="89">
        <v>221400</v>
      </c>
      <c r="Q272" s="89">
        <v>221400</v>
      </c>
      <c r="R272" s="89">
        <v>321400</v>
      </c>
      <c r="S272" s="89">
        <f>221400+100000</f>
        <v>321400</v>
      </c>
      <c r="T272" s="89">
        <v>221400</v>
      </c>
      <c r="U272" s="24">
        <f t="shared" si="94"/>
        <v>2656500</v>
      </c>
      <c r="V272" s="21">
        <f t="shared" si="90"/>
        <v>2656500</v>
      </c>
    </row>
    <row r="273" spans="1:22" ht="36" customHeight="1">
      <c r="A273" s="5" t="s">
        <v>42</v>
      </c>
      <c r="B273" s="3" t="s">
        <v>9</v>
      </c>
      <c r="C273" s="164" t="s">
        <v>26</v>
      </c>
      <c r="D273" s="162">
        <v>8230110410</v>
      </c>
      <c r="E273" s="162">
        <v>611</v>
      </c>
      <c r="F273" s="162">
        <v>213</v>
      </c>
      <c r="G273" s="230"/>
      <c r="H273" s="89">
        <v>802200</v>
      </c>
      <c r="I273" s="89">
        <v>66300</v>
      </c>
      <c r="J273" s="89">
        <f>66900-10000</f>
        <v>56900</v>
      </c>
      <c r="K273" s="89">
        <v>66900</v>
      </c>
      <c r="L273" s="89">
        <v>66900</v>
      </c>
      <c r="M273" s="89">
        <v>66900</v>
      </c>
      <c r="N273" s="89">
        <v>66900</v>
      </c>
      <c r="O273" s="89">
        <v>66900</v>
      </c>
      <c r="P273" s="89">
        <v>66900</v>
      </c>
      <c r="Q273" s="89">
        <v>66900</v>
      </c>
      <c r="R273" s="89">
        <f>66900+10000</f>
        <v>76900</v>
      </c>
      <c r="S273" s="89">
        <v>66900</v>
      </c>
      <c r="T273" s="89">
        <v>66900</v>
      </c>
      <c r="U273" s="24">
        <f t="shared" si="94"/>
        <v>802200</v>
      </c>
      <c r="V273" s="21">
        <f aca="true" t="shared" si="95" ref="V273:V304">SUM(I273:T273)</f>
        <v>802200</v>
      </c>
    </row>
    <row r="274" spans="1:22" ht="46.5" customHeight="1" hidden="1">
      <c r="A274" s="5" t="s">
        <v>42</v>
      </c>
      <c r="B274" s="3" t="s">
        <v>7</v>
      </c>
      <c r="C274" s="128" t="s">
        <v>26</v>
      </c>
      <c r="D274" s="127">
        <v>8230110410</v>
      </c>
      <c r="E274" s="127">
        <v>611</v>
      </c>
      <c r="F274" s="127">
        <v>211</v>
      </c>
      <c r="G274" s="229"/>
      <c r="H274" s="89">
        <v>0</v>
      </c>
      <c r="I274" s="89">
        <v>0</v>
      </c>
      <c r="J274" s="89">
        <v>0</v>
      </c>
      <c r="K274" s="89">
        <v>0</v>
      </c>
      <c r="L274" s="89">
        <v>0</v>
      </c>
      <c r="M274" s="89">
        <v>0</v>
      </c>
      <c r="N274" s="89">
        <v>0</v>
      </c>
      <c r="O274" s="89">
        <v>0</v>
      </c>
      <c r="P274" s="89">
        <v>0</v>
      </c>
      <c r="Q274" s="89">
        <v>0</v>
      </c>
      <c r="R274" s="89">
        <v>0</v>
      </c>
      <c r="S274" s="89">
        <v>0</v>
      </c>
      <c r="T274" s="89">
        <v>0</v>
      </c>
      <c r="U274" s="24">
        <f t="shared" si="94"/>
        <v>0</v>
      </c>
      <c r="V274" s="21">
        <f t="shared" si="95"/>
        <v>0</v>
      </c>
    </row>
    <row r="275" spans="1:22" ht="45.75" customHeight="1" hidden="1">
      <c r="A275" s="5" t="s">
        <v>42</v>
      </c>
      <c r="B275" s="3" t="s">
        <v>9</v>
      </c>
      <c r="C275" s="128" t="s">
        <v>26</v>
      </c>
      <c r="D275" s="127">
        <v>8230110410</v>
      </c>
      <c r="E275" s="127">
        <v>611</v>
      </c>
      <c r="F275" s="127">
        <v>213</v>
      </c>
      <c r="G275" s="230"/>
      <c r="H275" s="89">
        <v>0</v>
      </c>
      <c r="I275" s="89">
        <v>0</v>
      </c>
      <c r="J275" s="89">
        <v>0</v>
      </c>
      <c r="K275" s="89">
        <v>0</v>
      </c>
      <c r="L275" s="89">
        <v>0</v>
      </c>
      <c r="M275" s="89">
        <v>0</v>
      </c>
      <c r="N275" s="89">
        <v>0</v>
      </c>
      <c r="O275" s="89">
        <v>0</v>
      </c>
      <c r="P275" s="89">
        <v>0</v>
      </c>
      <c r="Q275" s="89">
        <v>0</v>
      </c>
      <c r="R275" s="89">
        <v>0</v>
      </c>
      <c r="S275" s="89">
        <v>0</v>
      </c>
      <c r="T275" s="89">
        <v>0</v>
      </c>
      <c r="U275" s="24">
        <f t="shared" si="94"/>
        <v>0</v>
      </c>
      <c r="V275" s="21">
        <f t="shared" si="95"/>
        <v>0</v>
      </c>
    </row>
    <row r="276" spans="1:22" ht="67.5" customHeight="1" hidden="1">
      <c r="A276" s="5" t="s">
        <v>42</v>
      </c>
      <c r="B276" s="3" t="s">
        <v>7</v>
      </c>
      <c r="C276" s="128" t="s">
        <v>26</v>
      </c>
      <c r="D276" s="127">
        <v>8230110410</v>
      </c>
      <c r="E276" s="127">
        <v>611</v>
      </c>
      <c r="F276" s="127">
        <v>211</v>
      </c>
      <c r="G276" s="229"/>
      <c r="H276" s="89">
        <v>0</v>
      </c>
      <c r="I276" s="89">
        <v>0</v>
      </c>
      <c r="J276" s="89">
        <v>0</v>
      </c>
      <c r="K276" s="89">
        <v>0</v>
      </c>
      <c r="L276" s="89">
        <v>0</v>
      </c>
      <c r="M276" s="89">
        <v>0</v>
      </c>
      <c r="N276" s="89">
        <v>0</v>
      </c>
      <c r="O276" s="89">
        <v>0</v>
      </c>
      <c r="P276" s="89">
        <v>0</v>
      </c>
      <c r="Q276" s="89">
        <v>0</v>
      </c>
      <c r="R276" s="89">
        <v>0</v>
      </c>
      <c r="S276" s="89">
        <v>0</v>
      </c>
      <c r="T276" s="89">
        <v>0</v>
      </c>
      <c r="U276" s="24">
        <f t="shared" si="94"/>
        <v>0</v>
      </c>
      <c r="V276" s="21">
        <f t="shared" si="95"/>
        <v>0</v>
      </c>
    </row>
    <row r="277" spans="1:22" ht="53.25" customHeight="1" hidden="1">
      <c r="A277" s="5" t="s">
        <v>42</v>
      </c>
      <c r="B277" s="3" t="s">
        <v>9</v>
      </c>
      <c r="C277" s="128" t="s">
        <v>26</v>
      </c>
      <c r="D277" s="127">
        <v>8230110410</v>
      </c>
      <c r="E277" s="127">
        <v>611</v>
      </c>
      <c r="F277" s="127">
        <v>213</v>
      </c>
      <c r="G277" s="230"/>
      <c r="H277" s="89">
        <v>0</v>
      </c>
      <c r="I277" s="89">
        <v>0</v>
      </c>
      <c r="J277" s="89">
        <v>0</v>
      </c>
      <c r="K277" s="89">
        <v>0</v>
      </c>
      <c r="L277" s="89">
        <v>0</v>
      </c>
      <c r="M277" s="89">
        <v>0</v>
      </c>
      <c r="N277" s="89">
        <v>0</v>
      </c>
      <c r="O277" s="89">
        <v>0</v>
      </c>
      <c r="P277" s="89">
        <v>0</v>
      </c>
      <c r="Q277" s="89">
        <v>0</v>
      </c>
      <c r="R277" s="89">
        <v>0</v>
      </c>
      <c r="S277" s="89">
        <v>0</v>
      </c>
      <c r="T277" s="89">
        <v>0</v>
      </c>
      <c r="U277" s="24">
        <f t="shared" si="94"/>
        <v>0</v>
      </c>
      <c r="V277" s="21">
        <f t="shared" si="95"/>
        <v>0</v>
      </c>
    </row>
    <row r="278" spans="1:22" ht="12.75" hidden="1">
      <c r="A278" s="5"/>
      <c r="B278" s="88"/>
      <c r="C278" s="128"/>
      <c r="D278" s="127"/>
      <c r="E278" s="127"/>
      <c r="F278" s="127"/>
      <c r="G278" s="86"/>
      <c r="H278" s="89"/>
      <c r="I278" s="89"/>
      <c r="J278" s="89"/>
      <c r="K278" s="89"/>
      <c r="L278" s="89"/>
      <c r="M278" s="89"/>
      <c r="N278" s="89"/>
      <c r="O278" s="89"/>
      <c r="P278" s="89"/>
      <c r="Q278" s="89"/>
      <c r="R278" s="89"/>
      <c r="S278" s="89"/>
      <c r="T278" s="89"/>
      <c r="U278" s="24">
        <f t="shared" si="94"/>
        <v>0</v>
      </c>
      <c r="V278" s="21">
        <f t="shared" si="95"/>
        <v>0</v>
      </c>
    </row>
    <row r="279" spans="1:22" ht="12.75" hidden="1">
      <c r="A279" s="5"/>
      <c r="B279" s="88"/>
      <c r="C279" s="128"/>
      <c r="D279" s="127"/>
      <c r="E279" s="127"/>
      <c r="F279" s="127"/>
      <c r="G279" s="86"/>
      <c r="H279" s="89"/>
      <c r="I279" s="89"/>
      <c r="J279" s="89"/>
      <c r="K279" s="89"/>
      <c r="L279" s="89"/>
      <c r="M279" s="89"/>
      <c r="N279" s="89"/>
      <c r="O279" s="89"/>
      <c r="P279" s="89"/>
      <c r="Q279" s="89"/>
      <c r="R279" s="89"/>
      <c r="S279" s="89"/>
      <c r="T279" s="89"/>
      <c r="U279" s="24">
        <f t="shared" si="94"/>
        <v>0</v>
      </c>
      <c r="V279" s="21">
        <f t="shared" si="95"/>
        <v>0</v>
      </c>
    </row>
    <row r="280" spans="1:22" ht="12.75" hidden="1">
      <c r="A280" s="5"/>
      <c r="B280" s="88"/>
      <c r="C280" s="128"/>
      <c r="D280" s="127"/>
      <c r="E280" s="127"/>
      <c r="F280" s="127"/>
      <c r="G280" s="86"/>
      <c r="H280" s="89"/>
      <c r="I280" s="89"/>
      <c r="J280" s="89"/>
      <c r="K280" s="89"/>
      <c r="L280" s="89"/>
      <c r="M280" s="89"/>
      <c r="N280" s="89"/>
      <c r="O280" s="89"/>
      <c r="P280" s="89"/>
      <c r="Q280" s="89"/>
      <c r="R280" s="89"/>
      <c r="S280" s="89"/>
      <c r="T280" s="89"/>
      <c r="U280" s="24">
        <f t="shared" si="94"/>
        <v>0</v>
      </c>
      <c r="V280" s="21">
        <f t="shared" si="95"/>
        <v>0</v>
      </c>
    </row>
    <row r="281" spans="1:22" ht="12.75" hidden="1">
      <c r="A281" s="5"/>
      <c r="B281" s="88"/>
      <c r="C281" s="128"/>
      <c r="D281" s="127"/>
      <c r="E281" s="127"/>
      <c r="F281" s="127"/>
      <c r="G281" s="86"/>
      <c r="H281" s="89"/>
      <c r="I281" s="89"/>
      <c r="J281" s="89"/>
      <c r="K281" s="89"/>
      <c r="L281" s="89"/>
      <c r="M281" s="89"/>
      <c r="N281" s="89"/>
      <c r="O281" s="89"/>
      <c r="P281" s="89"/>
      <c r="Q281" s="89"/>
      <c r="R281" s="89"/>
      <c r="S281" s="89"/>
      <c r="T281" s="89"/>
      <c r="U281" s="24">
        <f t="shared" si="94"/>
        <v>0</v>
      </c>
      <c r="V281" s="21">
        <f t="shared" si="95"/>
        <v>0</v>
      </c>
    </row>
    <row r="282" spans="1:22" ht="12.75" hidden="1">
      <c r="A282" s="5"/>
      <c r="B282" s="88"/>
      <c r="C282" s="128"/>
      <c r="D282" s="127"/>
      <c r="E282" s="127"/>
      <c r="F282" s="127"/>
      <c r="G282" s="86"/>
      <c r="H282" s="89"/>
      <c r="I282" s="89"/>
      <c r="J282" s="89"/>
      <c r="K282" s="89"/>
      <c r="L282" s="89"/>
      <c r="M282" s="89"/>
      <c r="N282" s="89"/>
      <c r="O282" s="89"/>
      <c r="P282" s="89"/>
      <c r="Q282" s="89"/>
      <c r="R282" s="89"/>
      <c r="S282" s="89"/>
      <c r="T282" s="89"/>
      <c r="U282" s="24">
        <f t="shared" si="94"/>
        <v>0</v>
      </c>
      <c r="V282" s="21">
        <f t="shared" si="95"/>
        <v>0</v>
      </c>
    </row>
    <row r="283" spans="1:22" ht="12.75" hidden="1">
      <c r="A283" s="5"/>
      <c r="B283" s="88"/>
      <c r="C283" s="128"/>
      <c r="D283" s="127"/>
      <c r="E283" s="127"/>
      <c r="F283" s="127"/>
      <c r="G283" s="86"/>
      <c r="H283" s="89"/>
      <c r="I283" s="89"/>
      <c r="J283" s="89"/>
      <c r="K283" s="89"/>
      <c r="L283" s="89"/>
      <c r="M283" s="89"/>
      <c r="N283" s="89"/>
      <c r="O283" s="89"/>
      <c r="P283" s="89"/>
      <c r="Q283" s="89"/>
      <c r="R283" s="89"/>
      <c r="S283" s="89"/>
      <c r="T283" s="89"/>
      <c r="U283" s="24">
        <f t="shared" si="94"/>
        <v>0</v>
      </c>
      <c r="V283" s="21">
        <f t="shared" si="95"/>
        <v>0</v>
      </c>
    </row>
    <row r="284" spans="1:22" ht="12.75" hidden="1">
      <c r="A284" s="5"/>
      <c r="B284" s="88"/>
      <c r="C284" s="128"/>
      <c r="D284" s="127"/>
      <c r="E284" s="127"/>
      <c r="F284" s="127"/>
      <c r="G284" s="86"/>
      <c r="H284" s="89"/>
      <c r="I284" s="89"/>
      <c r="J284" s="89"/>
      <c r="K284" s="89"/>
      <c r="L284" s="89"/>
      <c r="M284" s="89"/>
      <c r="N284" s="89"/>
      <c r="O284" s="89"/>
      <c r="P284" s="89"/>
      <c r="Q284" s="89"/>
      <c r="R284" s="89"/>
      <c r="S284" s="89"/>
      <c r="T284" s="89"/>
      <c r="U284" s="24">
        <f t="shared" si="94"/>
        <v>0</v>
      </c>
      <c r="V284" s="21">
        <f t="shared" si="95"/>
        <v>0</v>
      </c>
    </row>
    <row r="285" spans="1:22" ht="12.75">
      <c r="A285" s="5"/>
      <c r="B285" s="88"/>
      <c r="C285" s="128"/>
      <c r="D285" s="127"/>
      <c r="E285" s="127"/>
      <c r="F285" s="127"/>
      <c r="G285" s="86"/>
      <c r="H285" s="89"/>
      <c r="I285" s="89"/>
      <c r="J285" s="89"/>
      <c r="K285" s="89"/>
      <c r="L285" s="89"/>
      <c r="M285" s="89"/>
      <c r="N285" s="89"/>
      <c r="O285" s="89"/>
      <c r="P285" s="89"/>
      <c r="Q285" s="89"/>
      <c r="R285" s="89"/>
      <c r="S285" s="89"/>
      <c r="T285" s="89"/>
      <c r="U285" s="24"/>
      <c r="V285" s="21">
        <f t="shared" si="95"/>
        <v>0</v>
      </c>
    </row>
    <row r="286" spans="1:22" ht="76.5">
      <c r="A286" s="5" t="s">
        <v>42</v>
      </c>
      <c r="B286" s="35" t="s">
        <v>153</v>
      </c>
      <c r="C286" s="148" t="s">
        <v>26</v>
      </c>
      <c r="D286" s="161">
        <v>8240000000</v>
      </c>
      <c r="E286" s="161"/>
      <c r="F286" s="161"/>
      <c r="G286" s="37"/>
      <c r="H286" s="39">
        <f aca="true" t="shared" si="96" ref="H286:T286">H287</f>
        <v>414700</v>
      </c>
      <c r="I286" s="39">
        <f t="shared" si="96"/>
        <v>30800</v>
      </c>
      <c r="J286" s="39">
        <f t="shared" si="96"/>
        <v>13000</v>
      </c>
      <c r="K286" s="39">
        <f t="shared" si="96"/>
        <v>2000</v>
      </c>
      <c r="L286" s="39">
        <f t="shared" si="96"/>
        <v>20800</v>
      </c>
      <c r="M286" s="39">
        <f t="shared" si="96"/>
        <v>30800</v>
      </c>
      <c r="N286" s="39">
        <f t="shared" si="96"/>
        <v>26600</v>
      </c>
      <c r="O286" s="39">
        <f t="shared" si="96"/>
        <v>20300</v>
      </c>
      <c r="P286" s="39">
        <f t="shared" si="96"/>
        <v>20800</v>
      </c>
      <c r="Q286" s="39">
        <f t="shared" si="96"/>
        <v>20800</v>
      </c>
      <c r="R286" s="39">
        <f t="shared" si="96"/>
        <v>73200</v>
      </c>
      <c r="S286" s="39">
        <f t="shared" si="96"/>
        <v>61600</v>
      </c>
      <c r="T286" s="39">
        <f t="shared" si="96"/>
        <v>94000</v>
      </c>
      <c r="U286" s="24">
        <f>I286+J286+K286+L286+M286+N286+O286+P286+Q286+R286+S286+T286</f>
        <v>414700</v>
      </c>
      <c r="V286" s="21">
        <f t="shared" si="95"/>
        <v>414700</v>
      </c>
    </row>
    <row r="287" spans="1:22" ht="12.75">
      <c r="A287" s="5" t="s">
        <v>42</v>
      </c>
      <c r="B287" s="3" t="s">
        <v>16</v>
      </c>
      <c r="C287" s="164" t="s">
        <v>26</v>
      </c>
      <c r="D287" s="162">
        <v>8240100320</v>
      </c>
      <c r="E287" s="162">
        <v>611</v>
      </c>
      <c r="F287" s="144">
        <v>290</v>
      </c>
      <c r="G287" s="86"/>
      <c r="H287" s="89">
        <v>414700</v>
      </c>
      <c r="I287" s="89">
        <v>30800</v>
      </c>
      <c r="J287" s="89">
        <v>13000</v>
      </c>
      <c r="K287" s="89">
        <f>17800-15800</f>
        <v>2000</v>
      </c>
      <c r="L287" s="89">
        <v>20800</v>
      </c>
      <c r="M287" s="89">
        <v>30800</v>
      </c>
      <c r="N287" s="89">
        <f>10800+15800</f>
        <v>26600</v>
      </c>
      <c r="O287" s="89">
        <v>20300</v>
      </c>
      <c r="P287" s="89">
        <v>20800</v>
      </c>
      <c r="Q287" s="89">
        <v>20800</v>
      </c>
      <c r="R287" s="89">
        <v>73200</v>
      </c>
      <c r="S287" s="89">
        <v>61600</v>
      </c>
      <c r="T287" s="89">
        <v>94000</v>
      </c>
      <c r="U287" s="24">
        <f>I287+J287+K287+L287+M287+N287+O287+P287+Q287+R287+S287+T287</f>
        <v>414700</v>
      </c>
      <c r="V287" s="21">
        <f t="shared" si="95"/>
        <v>414700</v>
      </c>
    </row>
    <row r="288" spans="1:22" ht="12.75">
      <c r="A288" s="5"/>
      <c r="B288" s="88"/>
      <c r="C288" s="128"/>
      <c r="D288" s="127"/>
      <c r="E288" s="127"/>
      <c r="F288" s="113"/>
      <c r="G288" s="86"/>
      <c r="H288" s="89"/>
      <c r="I288" s="89"/>
      <c r="J288" s="89"/>
      <c r="K288" s="89"/>
      <c r="L288" s="89"/>
      <c r="M288" s="89"/>
      <c r="N288" s="89"/>
      <c r="O288" s="89"/>
      <c r="P288" s="89"/>
      <c r="Q288" s="89"/>
      <c r="R288" s="89"/>
      <c r="S288" s="89"/>
      <c r="T288" s="89"/>
      <c r="U288" s="24"/>
      <c r="V288" s="21">
        <f t="shared" si="95"/>
        <v>0</v>
      </c>
    </row>
    <row r="289" spans="1:22" ht="38.25">
      <c r="A289" s="5" t="s">
        <v>42</v>
      </c>
      <c r="B289" s="90" t="s">
        <v>92</v>
      </c>
      <c r="C289" s="164" t="s">
        <v>26</v>
      </c>
      <c r="D289" s="162">
        <v>9410000000</v>
      </c>
      <c r="E289" s="162"/>
      <c r="F289" s="144"/>
      <c r="G289" s="86"/>
      <c r="H289" s="39">
        <f aca="true" t="shared" si="97" ref="H289:T289">H290</f>
        <v>100000</v>
      </c>
      <c r="I289" s="77">
        <f t="shared" si="97"/>
        <v>0</v>
      </c>
      <c r="J289" s="77">
        <f t="shared" si="97"/>
        <v>0</v>
      </c>
      <c r="K289" s="77">
        <f t="shared" si="97"/>
        <v>0</v>
      </c>
      <c r="L289" s="77">
        <f t="shared" si="97"/>
        <v>0</v>
      </c>
      <c r="M289" s="77">
        <f t="shared" si="97"/>
        <v>0</v>
      </c>
      <c r="N289" s="77">
        <f t="shared" si="97"/>
        <v>0</v>
      </c>
      <c r="O289" s="77">
        <f t="shared" si="97"/>
        <v>0</v>
      </c>
      <c r="P289" s="77">
        <f t="shared" si="97"/>
        <v>0</v>
      </c>
      <c r="Q289" s="77">
        <f t="shared" si="97"/>
        <v>0</v>
      </c>
      <c r="R289" s="77">
        <f t="shared" si="97"/>
        <v>0</v>
      </c>
      <c r="S289" s="77">
        <f t="shared" si="97"/>
        <v>0</v>
      </c>
      <c r="T289" s="77">
        <f t="shared" si="97"/>
        <v>100000</v>
      </c>
      <c r="U289" s="24">
        <f>I289+J289+K289+L289+M289+N289+O289+P289+Q289+R289+S289+T289</f>
        <v>100000</v>
      </c>
      <c r="V289" s="21">
        <f t="shared" si="95"/>
        <v>100000</v>
      </c>
    </row>
    <row r="290" spans="1:22" ht="12.75">
      <c r="A290" s="5" t="s">
        <v>42</v>
      </c>
      <c r="B290" s="3" t="s">
        <v>18</v>
      </c>
      <c r="C290" s="164" t="s">
        <v>26</v>
      </c>
      <c r="D290" s="162">
        <v>9410051440</v>
      </c>
      <c r="E290" s="162">
        <v>540</v>
      </c>
      <c r="F290" s="162">
        <v>310</v>
      </c>
      <c r="G290" s="86"/>
      <c r="H290" s="89">
        <v>100000</v>
      </c>
      <c r="I290" s="89">
        <v>0</v>
      </c>
      <c r="J290" s="89">
        <v>0</v>
      </c>
      <c r="K290" s="89">
        <v>0</v>
      </c>
      <c r="L290" s="89">
        <v>0</v>
      </c>
      <c r="M290" s="89">
        <v>0</v>
      </c>
      <c r="N290" s="89">
        <v>0</v>
      </c>
      <c r="O290" s="89">
        <v>0</v>
      </c>
      <c r="P290" s="89">
        <v>0</v>
      </c>
      <c r="Q290" s="89">
        <v>0</v>
      </c>
      <c r="R290" s="89">
        <v>0</v>
      </c>
      <c r="S290" s="89">
        <v>0</v>
      </c>
      <c r="T290" s="89">
        <v>100000</v>
      </c>
      <c r="U290" s="24">
        <f>I290+J290+K290+L290+M290+N290+O290+P290+Q290+R290+S290+T290</f>
        <v>100000</v>
      </c>
      <c r="V290" s="21">
        <f t="shared" si="95"/>
        <v>100000</v>
      </c>
    </row>
    <row r="291" spans="1:22" ht="12.75">
      <c r="A291" s="5"/>
      <c r="B291" s="88"/>
      <c r="C291" s="128"/>
      <c r="D291" s="127"/>
      <c r="E291" s="127"/>
      <c r="F291" s="127"/>
      <c r="G291" s="86"/>
      <c r="H291" s="89"/>
      <c r="I291" s="89"/>
      <c r="J291" s="89"/>
      <c r="K291" s="89"/>
      <c r="L291" s="89"/>
      <c r="M291" s="89"/>
      <c r="N291" s="89"/>
      <c r="O291" s="89"/>
      <c r="P291" s="89"/>
      <c r="Q291" s="89"/>
      <c r="R291" s="89"/>
      <c r="S291" s="89"/>
      <c r="T291" s="89"/>
      <c r="U291" s="24"/>
      <c r="V291" s="21">
        <f t="shared" si="95"/>
        <v>0</v>
      </c>
    </row>
    <row r="292" spans="1:22" ht="89.25">
      <c r="A292" s="5" t="s">
        <v>42</v>
      </c>
      <c r="B292" s="35" t="s">
        <v>154</v>
      </c>
      <c r="C292" s="148" t="s">
        <v>26</v>
      </c>
      <c r="D292" s="161">
        <v>8400000000</v>
      </c>
      <c r="E292" s="161"/>
      <c r="F292" s="161"/>
      <c r="G292" s="37"/>
      <c r="H292" s="39">
        <f aca="true" t="shared" si="98" ref="H292:T292">H293</f>
        <v>10000</v>
      </c>
      <c r="I292" s="39">
        <f t="shared" si="98"/>
        <v>0</v>
      </c>
      <c r="J292" s="39">
        <f t="shared" si="98"/>
        <v>0</v>
      </c>
      <c r="K292" s="39">
        <f t="shared" si="98"/>
        <v>0</v>
      </c>
      <c r="L292" s="39">
        <f t="shared" si="98"/>
        <v>0</v>
      </c>
      <c r="M292" s="39">
        <f t="shared" si="98"/>
        <v>0</v>
      </c>
      <c r="N292" s="39">
        <f t="shared" si="98"/>
        <v>0</v>
      </c>
      <c r="O292" s="39">
        <f t="shared" si="98"/>
        <v>0</v>
      </c>
      <c r="P292" s="39">
        <f t="shared" si="98"/>
        <v>0</v>
      </c>
      <c r="Q292" s="39">
        <f t="shared" si="98"/>
        <v>0</v>
      </c>
      <c r="R292" s="39">
        <f t="shared" si="98"/>
        <v>0</v>
      </c>
      <c r="S292" s="39">
        <f t="shared" si="98"/>
        <v>10000</v>
      </c>
      <c r="T292" s="39">
        <f t="shared" si="98"/>
        <v>0</v>
      </c>
      <c r="U292" s="24">
        <f>I292+J292+K292+L292+M292+N292+O292+P292+Q292+R292+S292+T292</f>
        <v>10000</v>
      </c>
      <c r="V292" s="21">
        <f t="shared" si="95"/>
        <v>10000</v>
      </c>
    </row>
    <row r="293" spans="1:22" ht="12.75">
      <c r="A293" s="5" t="s">
        <v>42</v>
      </c>
      <c r="B293" s="3" t="s">
        <v>16</v>
      </c>
      <c r="C293" s="164" t="s">
        <v>26</v>
      </c>
      <c r="D293" s="162">
        <v>8410110290</v>
      </c>
      <c r="E293" s="162">
        <v>611</v>
      </c>
      <c r="F293" s="162">
        <v>290</v>
      </c>
      <c r="G293" s="86"/>
      <c r="H293" s="89">
        <v>10000</v>
      </c>
      <c r="I293" s="89">
        <v>0</v>
      </c>
      <c r="J293" s="89">
        <v>0</v>
      </c>
      <c r="K293" s="89">
        <v>0</v>
      </c>
      <c r="L293" s="89">
        <v>0</v>
      </c>
      <c r="M293" s="89">
        <v>0</v>
      </c>
      <c r="N293" s="89">
        <v>0</v>
      </c>
      <c r="O293" s="89">
        <v>0</v>
      </c>
      <c r="P293" s="89">
        <v>0</v>
      </c>
      <c r="Q293" s="89">
        <v>0</v>
      </c>
      <c r="R293" s="89">
        <v>0</v>
      </c>
      <c r="S293" s="89">
        <v>10000</v>
      </c>
      <c r="T293" s="89">
        <v>0</v>
      </c>
      <c r="U293" s="24">
        <f>I293+J293+K293+L293+M293+N293+O293+P293+Q293+R293+S293+T293</f>
        <v>10000</v>
      </c>
      <c r="V293" s="21">
        <f t="shared" si="95"/>
        <v>10000</v>
      </c>
    </row>
    <row r="294" spans="1:22" ht="12.75">
      <c r="A294" s="5"/>
      <c r="B294" s="88"/>
      <c r="C294" s="128"/>
      <c r="D294" s="127"/>
      <c r="E294" s="127"/>
      <c r="F294" s="127"/>
      <c r="G294" s="86"/>
      <c r="H294" s="89"/>
      <c r="I294" s="89"/>
      <c r="J294" s="89"/>
      <c r="K294" s="89"/>
      <c r="L294" s="89"/>
      <c r="M294" s="89"/>
      <c r="N294" s="89"/>
      <c r="O294" s="89"/>
      <c r="P294" s="89"/>
      <c r="Q294" s="89"/>
      <c r="R294" s="89"/>
      <c r="S294" s="89"/>
      <c r="T294" s="89"/>
      <c r="U294" s="24"/>
      <c r="V294" s="21">
        <f t="shared" si="95"/>
        <v>0</v>
      </c>
    </row>
    <row r="295" spans="1:22" ht="140.25">
      <c r="A295" s="5" t="s">
        <v>42</v>
      </c>
      <c r="B295" s="35" t="s">
        <v>155</v>
      </c>
      <c r="C295" s="148" t="s">
        <v>26</v>
      </c>
      <c r="D295" s="161">
        <v>8500000000</v>
      </c>
      <c r="E295" s="161"/>
      <c r="F295" s="161"/>
      <c r="G295" s="37"/>
      <c r="H295" s="39">
        <f aca="true" t="shared" si="99" ref="H295:T295">H296</f>
        <v>50000</v>
      </c>
      <c r="I295" s="39">
        <f t="shared" si="99"/>
        <v>0</v>
      </c>
      <c r="J295" s="39">
        <f t="shared" si="99"/>
        <v>0</v>
      </c>
      <c r="K295" s="39">
        <f t="shared" si="99"/>
        <v>0</v>
      </c>
      <c r="L295" s="39">
        <f t="shared" si="99"/>
        <v>50000</v>
      </c>
      <c r="M295" s="39">
        <f t="shared" si="99"/>
        <v>0</v>
      </c>
      <c r="N295" s="39">
        <f t="shared" si="99"/>
        <v>0</v>
      </c>
      <c r="O295" s="39">
        <f t="shared" si="99"/>
        <v>0</v>
      </c>
      <c r="P295" s="39">
        <f t="shared" si="99"/>
        <v>0</v>
      </c>
      <c r="Q295" s="39">
        <f t="shared" si="99"/>
        <v>0</v>
      </c>
      <c r="R295" s="39">
        <f t="shared" si="99"/>
        <v>0</v>
      </c>
      <c r="S295" s="39">
        <f t="shared" si="99"/>
        <v>0</v>
      </c>
      <c r="T295" s="39">
        <f t="shared" si="99"/>
        <v>0</v>
      </c>
      <c r="U295" s="24">
        <f>I295+J295+K295+L295+M295+N295+O295+P295+Q295+R295+S295+T295</f>
        <v>50000</v>
      </c>
      <c r="V295" s="21">
        <f t="shared" si="95"/>
        <v>50000</v>
      </c>
    </row>
    <row r="296" spans="1:22" ht="25.5">
      <c r="A296" s="5" t="s">
        <v>42</v>
      </c>
      <c r="B296" s="72" t="s">
        <v>71</v>
      </c>
      <c r="C296" s="164" t="s">
        <v>26</v>
      </c>
      <c r="D296" s="162">
        <v>8510110310</v>
      </c>
      <c r="E296" s="162">
        <v>244</v>
      </c>
      <c r="F296" s="162">
        <v>225</v>
      </c>
      <c r="G296" s="86"/>
      <c r="H296" s="78">
        <v>50000</v>
      </c>
      <c r="I296" s="78">
        <v>0</v>
      </c>
      <c r="J296" s="78">
        <v>0</v>
      </c>
      <c r="K296" s="78">
        <v>0</v>
      </c>
      <c r="L296" s="78">
        <v>50000</v>
      </c>
      <c r="M296" s="78">
        <v>0</v>
      </c>
      <c r="N296" s="78">
        <v>0</v>
      </c>
      <c r="O296" s="78">
        <v>0</v>
      </c>
      <c r="P296" s="78">
        <v>0</v>
      </c>
      <c r="Q296" s="78">
        <v>0</v>
      </c>
      <c r="R296" s="78">
        <v>0</v>
      </c>
      <c r="S296" s="78">
        <v>0</v>
      </c>
      <c r="T296" s="78">
        <v>0</v>
      </c>
      <c r="U296" s="24">
        <f>I296+J296+K296+L296+M296+N296+O296+P296+Q296+R296+S296+T296</f>
        <v>50000</v>
      </c>
      <c r="V296" s="21">
        <f t="shared" si="95"/>
        <v>50000</v>
      </c>
    </row>
    <row r="297" spans="1:22" ht="12.75">
      <c r="A297" s="5"/>
      <c r="B297" s="88"/>
      <c r="C297" s="128"/>
      <c r="D297" s="127"/>
      <c r="E297" s="127"/>
      <c r="F297" s="127"/>
      <c r="G297" s="86"/>
      <c r="H297" s="89"/>
      <c r="I297" s="89"/>
      <c r="J297" s="89"/>
      <c r="K297" s="89"/>
      <c r="L297" s="89"/>
      <c r="M297" s="89"/>
      <c r="N297" s="89"/>
      <c r="O297" s="89"/>
      <c r="P297" s="89"/>
      <c r="Q297" s="89"/>
      <c r="R297" s="89"/>
      <c r="S297" s="89"/>
      <c r="T297" s="89"/>
      <c r="U297" s="24"/>
      <c r="V297" s="21">
        <f t="shared" si="95"/>
        <v>0</v>
      </c>
    </row>
    <row r="298" spans="1:22" ht="12.75">
      <c r="A298" s="5"/>
      <c r="B298" s="29" t="s">
        <v>53</v>
      </c>
      <c r="C298" s="180" t="s">
        <v>26</v>
      </c>
      <c r="D298" s="127"/>
      <c r="E298" s="127"/>
      <c r="F298" s="127"/>
      <c r="G298" s="86"/>
      <c r="H298" s="92">
        <f aca="true" t="shared" si="100" ref="H298:T298">H295+H292+H289+H238</f>
        <v>12409900</v>
      </c>
      <c r="I298" s="91">
        <f t="shared" si="100"/>
        <v>995900</v>
      </c>
      <c r="J298" s="91">
        <f t="shared" si="100"/>
        <v>845190</v>
      </c>
      <c r="K298" s="91">
        <f t="shared" si="100"/>
        <v>857490</v>
      </c>
      <c r="L298" s="91">
        <f t="shared" si="100"/>
        <v>1081890</v>
      </c>
      <c r="M298" s="91">
        <f t="shared" si="100"/>
        <v>952790</v>
      </c>
      <c r="N298" s="91">
        <f t="shared" si="100"/>
        <v>930450</v>
      </c>
      <c r="O298" s="91">
        <f t="shared" si="100"/>
        <v>978790</v>
      </c>
      <c r="P298" s="91">
        <f t="shared" si="100"/>
        <v>928790</v>
      </c>
      <c r="Q298" s="91">
        <f t="shared" si="100"/>
        <v>957690</v>
      </c>
      <c r="R298" s="91">
        <f t="shared" si="100"/>
        <v>1221630</v>
      </c>
      <c r="S298" s="91">
        <f t="shared" si="100"/>
        <v>1257390</v>
      </c>
      <c r="T298" s="91">
        <f t="shared" si="100"/>
        <v>1401900</v>
      </c>
      <c r="U298" s="24">
        <f>I298+J298+K298+L298+M298+N298+O298+P298+Q298+R298+S298+T298</f>
        <v>12409900</v>
      </c>
      <c r="V298" s="21">
        <f t="shared" si="95"/>
        <v>12409900</v>
      </c>
    </row>
    <row r="299" spans="1:22" ht="12.75">
      <c r="A299" s="5"/>
      <c r="B299" s="88"/>
      <c r="C299" s="128"/>
      <c r="D299" s="127"/>
      <c r="E299" s="127"/>
      <c r="F299" s="127"/>
      <c r="G299" s="86"/>
      <c r="H299" s="89"/>
      <c r="I299" s="89"/>
      <c r="J299" s="89"/>
      <c r="K299" s="89"/>
      <c r="L299" s="89"/>
      <c r="M299" s="89"/>
      <c r="N299" s="89"/>
      <c r="O299" s="89"/>
      <c r="P299" s="89"/>
      <c r="Q299" s="89"/>
      <c r="R299" s="89"/>
      <c r="S299" s="89"/>
      <c r="T299" s="89"/>
      <c r="U299" s="24"/>
      <c r="V299" s="21">
        <f t="shared" si="95"/>
        <v>0</v>
      </c>
    </row>
    <row r="300" spans="1:22" ht="12.75">
      <c r="A300" s="53"/>
      <c r="B300" s="54" t="s">
        <v>93</v>
      </c>
      <c r="C300" s="141"/>
      <c r="D300" s="140"/>
      <c r="E300" s="140"/>
      <c r="F300" s="140"/>
      <c r="G300" s="93"/>
      <c r="H300" s="94">
        <f aca="true" t="shared" si="101" ref="H300:T300">H298</f>
        <v>12409900</v>
      </c>
      <c r="I300" s="94">
        <f t="shared" si="101"/>
        <v>995900</v>
      </c>
      <c r="J300" s="94">
        <f t="shared" si="101"/>
        <v>845190</v>
      </c>
      <c r="K300" s="94">
        <f t="shared" si="101"/>
        <v>857490</v>
      </c>
      <c r="L300" s="94">
        <f t="shared" si="101"/>
        <v>1081890</v>
      </c>
      <c r="M300" s="94">
        <f t="shared" si="101"/>
        <v>952790</v>
      </c>
      <c r="N300" s="94">
        <f t="shared" si="101"/>
        <v>930450</v>
      </c>
      <c r="O300" s="94">
        <f t="shared" si="101"/>
        <v>978790</v>
      </c>
      <c r="P300" s="94">
        <f t="shared" si="101"/>
        <v>928790</v>
      </c>
      <c r="Q300" s="94">
        <f t="shared" si="101"/>
        <v>957690</v>
      </c>
      <c r="R300" s="94">
        <f t="shared" si="101"/>
        <v>1221630</v>
      </c>
      <c r="S300" s="94">
        <f t="shared" si="101"/>
        <v>1257390</v>
      </c>
      <c r="T300" s="94">
        <f t="shared" si="101"/>
        <v>1401900</v>
      </c>
      <c r="U300" s="24">
        <f>I300+J300+K300+L300+M300+N300+O300+P300+Q300+R300+S300+T300</f>
        <v>12409900</v>
      </c>
      <c r="V300" s="199">
        <f t="shared" si="95"/>
        <v>12409900</v>
      </c>
    </row>
    <row r="301" spans="1:22" ht="12.75">
      <c r="A301" s="5"/>
      <c r="B301" s="88"/>
      <c r="C301" s="128"/>
      <c r="D301" s="127"/>
      <c r="E301" s="127"/>
      <c r="F301" s="127"/>
      <c r="G301" s="86"/>
      <c r="H301" s="89"/>
      <c r="I301" s="89"/>
      <c r="J301" s="89"/>
      <c r="K301" s="89"/>
      <c r="L301" s="89"/>
      <c r="M301" s="89"/>
      <c r="N301" s="89"/>
      <c r="O301" s="89"/>
      <c r="P301" s="89"/>
      <c r="Q301" s="89"/>
      <c r="R301" s="89"/>
      <c r="S301" s="89"/>
      <c r="T301" s="89"/>
      <c r="U301" s="24"/>
      <c r="V301" s="21">
        <f t="shared" si="95"/>
        <v>0</v>
      </c>
    </row>
    <row r="302" spans="1:22" ht="114.75">
      <c r="A302" s="5" t="s">
        <v>42</v>
      </c>
      <c r="B302" s="35" t="s">
        <v>156</v>
      </c>
      <c r="C302" s="148" t="s">
        <v>50</v>
      </c>
      <c r="D302" s="161">
        <v>8600000000</v>
      </c>
      <c r="E302" s="161"/>
      <c r="F302" s="161"/>
      <c r="G302" s="37"/>
      <c r="H302" s="39">
        <f aca="true" t="shared" si="102" ref="H302:T302">H303</f>
        <v>277300</v>
      </c>
      <c r="I302" s="39">
        <f t="shared" si="102"/>
        <v>17400</v>
      </c>
      <c r="J302" s="39">
        <f t="shared" si="102"/>
        <v>17400</v>
      </c>
      <c r="K302" s="39">
        <f t="shared" si="102"/>
        <v>17400</v>
      </c>
      <c r="L302" s="39">
        <f t="shared" si="102"/>
        <v>17400</v>
      </c>
      <c r="M302" s="39">
        <f t="shared" si="102"/>
        <v>17400</v>
      </c>
      <c r="N302" s="39">
        <f t="shared" si="102"/>
        <v>17400</v>
      </c>
      <c r="O302" s="39">
        <f t="shared" si="102"/>
        <v>17400</v>
      </c>
      <c r="P302" s="39">
        <f t="shared" si="102"/>
        <v>17400</v>
      </c>
      <c r="Q302" s="39">
        <f t="shared" si="102"/>
        <v>17400</v>
      </c>
      <c r="R302" s="39">
        <f t="shared" si="102"/>
        <v>17400</v>
      </c>
      <c r="S302" s="39">
        <f t="shared" si="102"/>
        <v>17400</v>
      </c>
      <c r="T302" s="39">
        <f t="shared" si="102"/>
        <v>85900</v>
      </c>
      <c r="U302" s="24">
        <f>I302+J302+K302+L302+M302+N302+O302+P302+Q302+R302+S302+T302</f>
        <v>277300</v>
      </c>
      <c r="V302" s="21">
        <f t="shared" si="95"/>
        <v>277300</v>
      </c>
    </row>
    <row r="303" spans="1:22" ht="51">
      <c r="A303" s="5" t="s">
        <v>42</v>
      </c>
      <c r="B303" s="8" t="s">
        <v>49</v>
      </c>
      <c r="C303" s="164" t="s">
        <v>50</v>
      </c>
      <c r="D303" s="162">
        <v>8610141210</v>
      </c>
      <c r="E303" s="162">
        <v>312</v>
      </c>
      <c r="F303" s="162">
        <v>263</v>
      </c>
      <c r="G303" s="86"/>
      <c r="H303" s="78">
        <f>209300+68000</f>
        <v>277300</v>
      </c>
      <c r="I303" s="78">
        <v>17400</v>
      </c>
      <c r="J303" s="78">
        <v>17400</v>
      </c>
      <c r="K303" s="78">
        <v>17400</v>
      </c>
      <c r="L303" s="78">
        <v>17400</v>
      </c>
      <c r="M303" s="78">
        <v>17400</v>
      </c>
      <c r="N303" s="78">
        <v>17400</v>
      </c>
      <c r="O303" s="78">
        <v>17400</v>
      </c>
      <c r="P303" s="78">
        <v>17400</v>
      </c>
      <c r="Q303" s="78">
        <v>17400</v>
      </c>
      <c r="R303" s="78">
        <v>17400</v>
      </c>
      <c r="S303" s="78">
        <v>17400</v>
      </c>
      <c r="T303" s="78">
        <f>17900+68000</f>
        <v>85900</v>
      </c>
      <c r="U303" s="24">
        <f>I303+J303+K303+L303+M303+N303+O303+P303+Q303+R303+S303+T303</f>
        <v>277300</v>
      </c>
      <c r="V303" s="21">
        <f t="shared" si="95"/>
        <v>277300</v>
      </c>
    </row>
    <row r="304" spans="1:22" ht="12.75">
      <c r="A304" s="5"/>
      <c r="B304" s="88"/>
      <c r="C304" s="128"/>
      <c r="D304" s="127"/>
      <c r="E304" s="127"/>
      <c r="F304" s="127"/>
      <c r="G304" s="86"/>
      <c r="H304" s="89"/>
      <c r="I304" s="89"/>
      <c r="J304" s="89"/>
      <c r="K304" s="89"/>
      <c r="L304" s="89"/>
      <c r="M304" s="89"/>
      <c r="N304" s="89"/>
      <c r="O304" s="89"/>
      <c r="P304" s="89"/>
      <c r="Q304" s="89"/>
      <c r="R304" s="89"/>
      <c r="S304" s="89"/>
      <c r="T304" s="89"/>
      <c r="U304" s="24"/>
      <c r="V304" s="21">
        <f t="shared" si="95"/>
        <v>0</v>
      </c>
    </row>
    <row r="305" spans="1:22" ht="12.75">
      <c r="A305" s="5"/>
      <c r="B305" s="29" t="s">
        <v>53</v>
      </c>
      <c r="C305" s="180" t="s">
        <v>50</v>
      </c>
      <c r="D305" s="127"/>
      <c r="E305" s="127"/>
      <c r="F305" s="127"/>
      <c r="G305" s="86"/>
      <c r="H305" s="92">
        <f aca="true" t="shared" si="103" ref="H305:T305">H302</f>
        <v>277300</v>
      </c>
      <c r="I305" s="91">
        <f t="shared" si="103"/>
        <v>17400</v>
      </c>
      <c r="J305" s="91">
        <f t="shared" si="103"/>
        <v>17400</v>
      </c>
      <c r="K305" s="91">
        <f t="shared" si="103"/>
        <v>17400</v>
      </c>
      <c r="L305" s="91">
        <f t="shared" si="103"/>
        <v>17400</v>
      </c>
      <c r="M305" s="91">
        <f t="shared" si="103"/>
        <v>17400</v>
      </c>
      <c r="N305" s="91">
        <f t="shared" si="103"/>
        <v>17400</v>
      </c>
      <c r="O305" s="91">
        <f t="shared" si="103"/>
        <v>17400</v>
      </c>
      <c r="P305" s="91">
        <f t="shared" si="103"/>
        <v>17400</v>
      </c>
      <c r="Q305" s="91">
        <f t="shared" si="103"/>
        <v>17400</v>
      </c>
      <c r="R305" s="91">
        <f t="shared" si="103"/>
        <v>17400</v>
      </c>
      <c r="S305" s="91">
        <f t="shared" si="103"/>
        <v>17400</v>
      </c>
      <c r="T305" s="91">
        <f t="shared" si="103"/>
        <v>85900</v>
      </c>
      <c r="U305" s="24">
        <f>I305+J305+K305+L305+M305+N305+O305+P305+Q305+R305+S305+T305</f>
        <v>277300</v>
      </c>
      <c r="V305" s="21">
        <f aca="true" t="shared" si="104" ref="V305:V313">SUM(I305:T305)</f>
        <v>277300</v>
      </c>
    </row>
    <row r="306" spans="1:22" ht="12.75">
      <c r="A306" s="5"/>
      <c r="B306" s="76"/>
      <c r="C306" s="136"/>
      <c r="D306" s="127"/>
      <c r="E306" s="127"/>
      <c r="F306" s="127"/>
      <c r="G306" s="86"/>
      <c r="H306" s="89"/>
      <c r="I306" s="89"/>
      <c r="J306" s="89"/>
      <c r="K306" s="89"/>
      <c r="L306" s="89"/>
      <c r="M306" s="89"/>
      <c r="N306" s="89"/>
      <c r="O306" s="89"/>
      <c r="P306" s="89"/>
      <c r="Q306" s="89"/>
      <c r="R306" s="89"/>
      <c r="S306" s="89"/>
      <c r="T306" s="89"/>
      <c r="U306" s="24"/>
      <c r="V306" s="21">
        <f t="shared" si="104"/>
        <v>0</v>
      </c>
    </row>
    <row r="307" spans="1:22" ht="127.5">
      <c r="A307" s="5" t="s">
        <v>42</v>
      </c>
      <c r="B307" s="35" t="s">
        <v>157</v>
      </c>
      <c r="C307" s="148" t="s">
        <v>94</v>
      </c>
      <c r="D307" s="161">
        <v>8700000000</v>
      </c>
      <c r="E307" s="161"/>
      <c r="F307" s="161"/>
      <c r="G307" s="37"/>
      <c r="H307" s="39">
        <f aca="true" t="shared" si="105" ref="H307:T307">H308</f>
        <v>30000</v>
      </c>
      <c r="I307" s="39">
        <f t="shared" si="105"/>
        <v>0</v>
      </c>
      <c r="J307" s="39">
        <f t="shared" si="105"/>
        <v>0</v>
      </c>
      <c r="K307" s="39">
        <f t="shared" si="105"/>
        <v>0</v>
      </c>
      <c r="L307" s="39">
        <f t="shared" si="105"/>
        <v>30000</v>
      </c>
      <c r="M307" s="39">
        <f t="shared" si="105"/>
        <v>0</v>
      </c>
      <c r="N307" s="39">
        <f t="shared" si="105"/>
        <v>0</v>
      </c>
      <c r="O307" s="39">
        <f t="shared" si="105"/>
        <v>0</v>
      </c>
      <c r="P307" s="39">
        <f t="shared" si="105"/>
        <v>0</v>
      </c>
      <c r="Q307" s="39">
        <f t="shared" si="105"/>
        <v>0</v>
      </c>
      <c r="R307" s="39">
        <f t="shared" si="105"/>
        <v>0</v>
      </c>
      <c r="S307" s="39">
        <f t="shared" si="105"/>
        <v>0</v>
      </c>
      <c r="T307" s="39">
        <f t="shared" si="105"/>
        <v>0</v>
      </c>
      <c r="U307" s="24">
        <f>I307+J307+K307+L307+M307+N307+O307+P307+Q307+R307+S307+T307</f>
        <v>30000</v>
      </c>
      <c r="V307" s="21">
        <f t="shared" si="104"/>
        <v>30000</v>
      </c>
    </row>
    <row r="308" spans="1:22" ht="12.75">
      <c r="A308" s="5" t="s">
        <v>42</v>
      </c>
      <c r="B308" s="3" t="s">
        <v>16</v>
      </c>
      <c r="C308" s="204" t="s">
        <v>94</v>
      </c>
      <c r="D308" s="162">
        <v>8710110300</v>
      </c>
      <c r="E308" s="162">
        <v>634</v>
      </c>
      <c r="F308" s="162">
        <v>290</v>
      </c>
      <c r="G308" s="86"/>
      <c r="H308" s="89">
        <v>30000</v>
      </c>
      <c r="I308" s="89">
        <v>0</v>
      </c>
      <c r="J308" s="89">
        <v>0</v>
      </c>
      <c r="K308" s="89">
        <v>0</v>
      </c>
      <c r="L308" s="89">
        <v>30000</v>
      </c>
      <c r="M308" s="89">
        <v>0</v>
      </c>
      <c r="N308" s="89">
        <v>0</v>
      </c>
      <c r="O308" s="89">
        <v>0</v>
      </c>
      <c r="P308" s="89">
        <v>0</v>
      </c>
      <c r="Q308" s="89">
        <v>0</v>
      </c>
      <c r="R308" s="89">
        <v>0</v>
      </c>
      <c r="S308" s="89">
        <v>0</v>
      </c>
      <c r="T308" s="89">
        <v>0</v>
      </c>
      <c r="U308" s="24">
        <f>I308+J308+K308+L308+M308+N308+O308+P308+Q308+R308+S308+T308</f>
        <v>30000</v>
      </c>
      <c r="V308" s="21">
        <f t="shared" si="104"/>
        <v>30000</v>
      </c>
    </row>
    <row r="309" spans="1:22" ht="12.75">
      <c r="A309" s="5"/>
      <c r="B309" s="76"/>
      <c r="C309" s="180"/>
      <c r="D309" s="162"/>
      <c r="E309" s="162"/>
      <c r="F309" s="162"/>
      <c r="G309" s="86"/>
      <c r="H309" s="89"/>
      <c r="I309" s="89"/>
      <c r="J309" s="89"/>
      <c r="K309" s="89"/>
      <c r="L309" s="89"/>
      <c r="M309" s="89"/>
      <c r="N309" s="89"/>
      <c r="O309" s="89"/>
      <c r="P309" s="89"/>
      <c r="Q309" s="89"/>
      <c r="R309" s="89"/>
      <c r="S309" s="89"/>
      <c r="T309" s="89"/>
      <c r="U309" s="24"/>
      <c r="V309" s="21">
        <f t="shared" si="104"/>
        <v>0</v>
      </c>
    </row>
    <row r="310" spans="1:22" ht="12.75">
      <c r="A310" s="5"/>
      <c r="B310" s="29" t="s">
        <v>53</v>
      </c>
      <c r="C310" s="180" t="s">
        <v>94</v>
      </c>
      <c r="D310" s="162"/>
      <c r="E310" s="162"/>
      <c r="F310" s="162"/>
      <c r="G310" s="86"/>
      <c r="H310" s="92">
        <f aca="true" t="shared" si="106" ref="H310:T310">H307</f>
        <v>30000</v>
      </c>
      <c r="I310" s="91">
        <f t="shared" si="106"/>
        <v>0</v>
      </c>
      <c r="J310" s="91">
        <f t="shared" si="106"/>
        <v>0</v>
      </c>
      <c r="K310" s="91">
        <f t="shared" si="106"/>
        <v>0</v>
      </c>
      <c r="L310" s="91">
        <f t="shared" si="106"/>
        <v>30000</v>
      </c>
      <c r="M310" s="91">
        <f t="shared" si="106"/>
        <v>0</v>
      </c>
      <c r="N310" s="91">
        <f t="shared" si="106"/>
        <v>0</v>
      </c>
      <c r="O310" s="91">
        <f t="shared" si="106"/>
        <v>0</v>
      </c>
      <c r="P310" s="91">
        <f t="shared" si="106"/>
        <v>0</v>
      </c>
      <c r="Q310" s="91">
        <f t="shared" si="106"/>
        <v>0</v>
      </c>
      <c r="R310" s="91">
        <f t="shared" si="106"/>
        <v>0</v>
      </c>
      <c r="S310" s="91">
        <f t="shared" si="106"/>
        <v>0</v>
      </c>
      <c r="T310" s="91">
        <f t="shared" si="106"/>
        <v>0</v>
      </c>
      <c r="U310" s="24">
        <f>I310+J310+K310+L310+M310+N310+O310+P310+Q310+R310+S310+T310</f>
        <v>30000</v>
      </c>
      <c r="V310" s="21">
        <f t="shared" si="104"/>
        <v>30000</v>
      </c>
    </row>
    <row r="311" spans="1:22" ht="12.75">
      <c r="A311" s="5"/>
      <c r="B311" s="76"/>
      <c r="C311" s="136"/>
      <c r="D311" s="127"/>
      <c r="E311" s="127"/>
      <c r="F311" s="127"/>
      <c r="G311" s="86"/>
      <c r="H311" s="89"/>
      <c r="I311" s="89"/>
      <c r="J311" s="89"/>
      <c r="K311" s="89"/>
      <c r="L311" s="89"/>
      <c r="M311" s="89"/>
      <c r="N311" s="89"/>
      <c r="O311" s="89"/>
      <c r="P311" s="89"/>
      <c r="Q311" s="89"/>
      <c r="R311" s="89"/>
      <c r="S311" s="89"/>
      <c r="T311" s="89"/>
      <c r="U311" s="24"/>
      <c r="V311" s="21">
        <f t="shared" si="104"/>
        <v>0</v>
      </c>
    </row>
    <row r="312" spans="1:22" ht="12.75">
      <c r="A312" s="53"/>
      <c r="B312" s="54" t="s">
        <v>95</v>
      </c>
      <c r="C312" s="143"/>
      <c r="D312" s="140"/>
      <c r="E312" s="140"/>
      <c r="F312" s="140"/>
      <c r="G312" s="93"/>
      <c r="H312" s="94">
        <f aca="true" t="shared" si="107" ref="H312:T312">H307+H302</f>
        <v>307300</v>
      </c>
      <c r="I312" s="94">
        <f t="shared" si="107"/>
        <v>17400</v>
      </c>
      <c r="J312" s="94">
        <f t="shared" si="107"/>
        <v>17400</v>
      </c>
      <c r="K312" s="94">
        <f t="shared" si="107"/>
        <v>17400</v>
      </c>
      <c r="L312" s="94">
        <f t="shared" si="107"/>
        <v>47400</v>
      </c>
      <c r="M312" s="94">
        <f t="shared" si="107"/>
        <v>17400</v>
      </c>
      <c r="N312" s="94">
        <f t="shared" si="107"/>
        <v>17400</v>
      </c>
      <c r="O312" s="94">
        <f t="shared" si="107"/>
        <v>17400</v>
      </c>
      <c r="P312" s="94">
        <f t="shared" si="107"/>
        <v>17400</v>
      </c>
      <c r="Q312" s="94">
        <f t="shared" si="107"/>
        <v>17400</v>
      </c>
      <c r="R312" s="94">
        <f t="shared" si="107"/>
        <v>17400</v>
      </c>
      <c r="S312" s="94">
        <f t="shared" si="107"/>
        <v>17400</v>
      </c>
      <c r="T312" s="94">
        <f t="shared" si="107"/>
        <v>85900</v>
      </c>
      <c r="U312" s="24">
        <f>I312+J312+K312+L312+M312+N312+O312+P312+Q312+R312+S312+T312</f>
        <v>307300</v>
      </c>
      <c r="V312" s="199">
        <f t="shared" si="104"/>
        <v>307300</v>
      </c>
    </row>
    <row r="313" spans="1:22" ht="12.75">
      <c r="A313" s="5"/>
      <c r="B313" s="88"/>
      <c r="C313" s="128"/>
      <c r="D313" s="127"/>
      <c r="E313" s="127"/>
      <c r="F313" s="127"/>
      <c r="G313" s="86"/>
      <c r="H313" s="89"/>
      <c r="I313" s="89"/>
      <c r="J313" s="89"/>
      <c r="K313" s="89"/>
      <c r="L313" s="89"/>
      <c r="M313" s="89"/>
      <c r="N313" s="89"/>
      <c r="O313" s="89"/>
      <c r="P313" s="89"/>
      <c r="Q313" s="89"/>
      <c r="R313" s="89"/>
      <c r="S313" s="89"/>
      <c r="T313" s="89"/>
      <c r="U313" s="24"/>
      <c r="V313" s="21">
        <f t="shared" si="104"/>
        <v>0</v>
      </c>
    </row>
    <row r="314" spans="1:22" ht="89.25">
      <c r="A314" s="5" t="s">
        <v>42</v>
      </c>
      <c r="B314" s="35" t="s">
        <v>158</v>
      </c>
      <c r="C314" s="148" t="s">
        <v>27</v>
      </c>
      <c r="D314" s="161">
        <v>8800000000</v>
      </c>
      <c r="E314" s="117"/>
      <c r="F314" s="117"/>
      <c r="G314" s="37"/>
      <c r="H314" s="39">
        <f aca="true" t="shared" si="108" ref="H314:T314">H316+H330+H333</f>
        <v>5032540.18</v>
      </c>
      <c r="I314" s="39">
        <f t="shared" si="108"/>
        <v>381500</v>
      </c>
      <c r="J314" s="39">
        <f t="shared" si="108"/>
        <v>265560</v>
      </c>
      <c r="K314" s="39">
        <f t="shared" si="108"/>
        <v>238500</v>
      </c>
      <c r="L314" s="39">
        <f t="shared" si="108"/>
        <v>575340.1799999999</v>
      </c>
      <c r="M314" s="39">
        <f t="shared" si="108"/>
        <v>325385</v>
      </c>
      <c r="N314" s="39">
        <f t="shared" si="108"/>
        <v>238900</v>
      </c>
      <c r="O314" s="39">
        <f t="shared" si="108"/>
        <v>426500</v>
      </c>
      <c r="P314" s="39">
        <f t="shared" si="108"/>
        <v>375900</v>
      </c>
      <c r="Q314" s="39">
        <f t="shared" si="108"/>
        <v>376000</v>
      </c>
      <c r="R314" s="39">
        <f t="shared" si="108"/>
        <v>587415</v>
      </c>
      <c r="S314" s="39">
        <f t="shared" si="108"/>
        <v>515600</v>
      </c>
      <c r="T314" s="39">
        <f t="shared" si="108"/>
        <v>725940</v>
      </c>
      <c r="U314" s="24">
        <f>I314+J314+K314+L314+M314+N314+O314+P314+Q314+R314+S314+T314</f>
        <v>5032540.18</v>
      </c>
      <c r="V314" s="21">
        <f>V316+V333+V330</f>
        <v>5032540.18</v>
      </c>
    </row>
    <row r="315" spans="1:22" ht="12.75">
      <c r="A315" s="5"/>
      <c r="B315" s="71"/>
      <c r="C315" s="122"/>
      <c r="D315" s="123"/>
      <c r="E315" s="123"/>
      <c r="F315" s="123"/>
      <c r="G315" s="44"/>
      <c r="H315" s="77"/>
      <c r="I315" s="89"/>
      <c r="J315" s="89"/>
      <c r="K315" s="89"/>
      <c r="L315" s="89"/>
      <c r="M315" s="89"/>
      <c r="N315" s="89"/>
      <c r="O315" s="89"/>
      <c r="P315" s="89"/>
      <c r="Q315" s="89"/>
      <c r="R315" s="89"/>
      <c r="S315" s="89"/>
      <c r="T315" s="89"/>
      <c r="U315" s="24"/>
      <c r="V315" s="21">
        <f aca="true" t="shared" si="109" ref="V315:V332">SUM(I315:T315)</f>
        <v>0</v>
      </c>
    </row>
    <row r="316" spans="1:22" ht="89.25">
      <c r="A316" s="5" t="s">
        <v>42</v>
      </c>
      <c r="B316" s="35" t="s">
        <v>159</v>
      </c>
      <c r="C316" s="148" t="s">
        <v>27</v>
      </c>
      <c r="D316" s="161">
        <v>8810000000</v>
      </c>
      <c r="E316" s="117"/>
      <c r="F316" s="117"/>
      <c r="G316" s="37"/>
      <c r="H316" s="39">
        <f aca="true" t="shared" si="110" ref="H316:T316">H317+H318+H319+H320+H321+H322+H323+H324+H325+H326+H327+H328</f>
        <v>4606400</v>
      </c>
      <c r="I316" s="39">
        <f t="shared" si="110"/>
        <v>371500</v>
      </c>
      <c r="J316" s="39">
        <f t="shared" si="110"/>
        <v>255560</v>
      </c>
      <c r="K316" s="39">
        <f t="shared" si="110"/>
        <v>236300</v>
      </c>
      <c r="L316" s="39">
        <f t="shared" si="110"/>
        <v>427100</v>
      </c>
      <c r="M316" s="39">
        <f t="shared" si="110"/>
        <v>295385</v>
      </c>
      <c r="N316" s="39">
        <f t="shared" si="110"/>
        <v>222800</v>
      </c>
      <c r="O316" s="39">
        <f t="shared" si="110"/>
        <v>410400</v>
      </c>
      <c r="P316" s="39">
        <f t="shared" si="110"/>
        <v>359800</v>
      </c>
      <c r="Q316" s="39">
        <f t="shared" si="110"/>
        <v>359900</v>
      </c>
      <c r="R316" s="39">
        <f t="shared" si="110"/>
        <v>557415</v>
      </c>
      <c r="S316" s="39">
        <f t="shared" si="110"/>
        <v>499500</v>
      </c>
      <c r="T316" s="39">
        <f t="shared" si="110"/>
        <v>610740</v>
      </c>
      <c r="U316" s="24">
        <f aca="true" t="shared" si="111" ref="U316:U328">I316+J316+K316+L316+M316+N316+O316+P316+Q316+R316+S316+T316</f>
        <v>4606400</v>
      </c>
      <c r="V316" s="21">
        <f t="shared" si="109"/>
        <v>4606400</v>
      </c>
    </row>
    <row r="317" spans="1:22" ht="12.75">
      <c r="A317" s="5" t="s">
        <v>42</v>
      </c>
      <c r="B317" s="3" t="s">
        <v>7</v>
      </c>
      <c r="C317" s="164" t="s">
        <v>27</v>
      </c>
      <c r="D317" s="162">
        <v>8810100330</v>
      </c>
      <c r="E317" s="162">
        <v>611</v>
      </c>
      <c r="F317" s="162">
        <v>211</v>
      </c>
      <c r="G317" s="44"/>
      <c r="H317" s="78">
        <v>3203100</v>
      </c>
      <c r="I317" s="89">
        <f>254100+13700</f>
        <v>267800</v>
      </c>
      <c r="J317" s="89">
        <f>154700+13700</f>
        <v>168400</v>
      </c>
      <c r="K317" s="89">
        <f>204700+13700-50000</f>
        <v>168400</v>
      </c>
      <c r="L317" s="89">
        <f>254700+13700</f>
        <v>268400</v>
      </c>
      <c r="M317" s="89">
        <f>154700+13700+50000</f>
        <v>218400</v>
      </c>
      <c r="N317" s="89">
        <f>154700+13700</f>
        <v>168400</v>
      </c>
      <c r="O317" s="89">
        <f>254700+13700</f>
        <v>268400</v>
      </c>
      <c r="P317" s="89">
        <f>254700+13700</f>
        <v>268400</v>
      </c>
      <c r="Q317" s="89">
        <f>254700+13700</f>
        <v>268400</v>
      </c>
      <c r="R317" s="89">
        <f>354700+13700</f>
        <v>368400</v>
      </c>
      <c r="S317" s="89">
        <v>320000</v>
      </c>
      <c r="T317" s="89">
        <f>436000+13700</f>
        <v>449700</v>
      </c>
      <c r="U317" s="24">
        <f t="shared" si="111"/>
        <v>3203100</v>
      </c>
      <c r="V317" s="21">
        <f t="shared" si="109"/>
        <v>3203100</v>
      </c>
    </row>
    <row r="318" spans="1:22" ht="12.75">
      <c r="A318" s="5" t="s">
        <v>42</v>
      </c>
      <c r="B318" s="3" t="s">
        <v>9</v>
      </c>
      <c r="C318" s="164" t="s">
        <v>27</v>
      </c>
      <c r="D318" s="162">
        <v>8810100330</v>
      </c>
      <c r="E318" s="162">
        <v>611</v>
      </c>
      <c r="F318" s="162">
        <v>213</v>
      </c>
      <c r="G318" s="44"/>
      <c r="H318" s="78">
        <v>967300</v>
      </c>
      <c r="I318" s="89">
        <f>76400+4100</f>
        <v>80500</v>
      </c>
      <c r="J318" s="89">
        <f>58400+4100</f>
        <v>62500</v>
      </c>
      <c r="K318" s="89">
        <f>46400+4100</f>
        <v>50500</v>
      </c>
      <c r="L318" s="89">
        <f>76400+4100</f>
        <v>80500</v>
      </c>
      <c r="M318" s="89">
        <f>61785+4100</f>
        <v>65885</v>
      </c>
      <c r="N318" s="89">
        <f>39400+4100</f>
        <v>43500</v>
      </c>
      <c r="O318" s="89">
        <f>76400+4100</f>
        <v>80500</v>
      </c>
      <c r="P318" s="89">
        <f>76400+4100</f>
        <v>80500</v>
      </c>
      <c r="Q318" s="89">
        <f>76400+4100</f>
        <v>80500</v>
      </c>
      <c r="R318" s="89">
        <f>91015+4100</f>
        <v>95115</v>
      </c>
      <c r="S318" s="89">
        <v>148100</v>
      </c>
      <c r="T318" s="89">
        <f>95100+4100</f>
        <v>99200</v>
      </c>
      <c r="U318" s="24">
        <f t="shared" si="111"/>
        <v>967300</v>
      </c>
      <c r="V318" s="21">
        <f t="shared" si="109"/>
        <v>967300</v>
      </c>
    </row>
    <row r="319" spans="1:22" ht="12.75" hidden="1">
      <c r="A319" s="5" t="s">
        <v>42</v>
      </c>
      <c r="B319" s="3" t="s">
        <v>15</v>
      </c>
      <c r="C319" s="128" t="s">
        <v>27</v>
      </c>
      <c r="D319" s="127">
        <v>8810100330</v>
      </c>
      <c r="E319" s="127">
        <v>611</v>
      </c>
      <c r="F319" s="127">
        <v>226</v>
      </c>
      <c r="G319" s="44"/>
      <c r="H319" s="78">
        <v>0</v>
      </c>
      <c r="I319" s="89">
        <v>0</v>
      </c>
      <c r="J319" s="89">
        <v>0</v>
      </c>
      <c r="K319" s="89">
        <v>0</v>
      </c>
      <c r="L319" s="89">
        <v>0</v>
      </c>
      <c r="M319" s="89">
        <v>0</v>
      </c>
      <c r="N319" s="89">
        <v>0</v>
      </c>
      <c r="O319" s="89">
        <v>0</v>
      </c>
      <c r="P319" s="89">
        <v>0</v>
      </c>
      <c r="Q319" s="89">
        <v>0</v>
      </c>
      <c r="R319" s="89">
        <v>0</v>
      </c>
      <c r="S319" s="89">
        <v>0</v>
      </c>
      <c r="T319" s="89">
        <v>0</v>
      </c>
      <c r="U319" s="24">
        <f t="shared" si="111"/>
        <v>0</v>
      </c>
      <c r="V319" s="21">
        <f t="shared" si="109"/>
        <v>0</v>
      </c>
    </row>
    <row r="320" spans="1:22" ht="12.75">
      <c r="A320" s="96" t="s">
        <v>42</v>
      </c>
      <c r="B320" s="97" t="s">
        <v>12</v>
      </c>
      <c r="C320" s="164" t="s">
        <v>27</v>
      </c>
      <c r="D320" s="162">
        <v>8810100330</v>
      </c>
      <c r="E320" s="162">
        <v>611</v>
      </c>
      <c r="F320" s="162">
        <v>221</v>
      </c>
      <c r="G320" s="85" t="s">
        <v>96</v>
      </c>
      <c r="H320" s="78">
        <v>30000</v>
      </c>
      <c r="I320" s="89">
        <v>1500</v>
      </c>
      <c r="J320" s="89">
        <v>2500</v>
      </c>
      <c r="K320" s="89">
        <v>2500</v>
      </c>
      <c r="L320" s="89">
        <v>2500</v>
      </c>
      <c r="M320" s="89">
        <v>2500</v>
      </c>
      <c r="N320" s="89">
        <v>2500</v>
      </c>
      <c r="O320" s="89">
        <v>2500</v>
      </c>
      <c r="P320" s="89">
        <v>2500</v>
      </c>
      <c r="Q320" s="89">
        <v>2500</v>
      </c>
      <c r="R320" s="89">
        <v>2500</v>
      </c>
      <c r="S320" s="89">
        <v>2500</v>
      </c>
      <c r="T320" s="89">
        <v>3500</v>
      </c>
      <c r="U320" s="24">
        <f t="shared" si="111"/>
        <v>30000</v>
      </c>
      <c r="V320" s="21">
        <f t="shared" si="109"/>
        <v>30000</v>
      </c>
    </row>
    <row r="321" spans="1:22" ht="12.75">
      <c r="A321" s="96" t="s">
        <v>42</v>
      </c>
      <c r="B321" s="97" t="s">
        <v>12</v>
      </c>
      <c r="C321" s="164" t="s">
        <v>27</v>
      </c>
      <c r="D321" s="162">
        <v>8810100330</v>
      </c>
      <c r="E321" s="162">
        <v>611</v>
      </c>
      <c r="F321" s="162">
        <v>221</v>
      </c>
      <c r="G321" s="85" t="s">
        <v>97</v>
      </c>
      <c r="H321" s="78">
        <v>29000</v>
      </c>
      <c r="I321" s="89">
        <v>2400</v>
      </c>
      <c r="J321" s="89">
        <v>2400</v>
      </c>
      <c r="K321" s="89">
        <v>2400</v>
      </c>
      <c r="L321" s="89">
        <v>2400</v>
      </c>
      <c r="M321" s="89">
        <v>2400</v>
      </c>
      <c r="N321" s="89">
        <v>2400</v>
      </c>
      <c r="O321" s="89">
        <v>2400</v>
      </c>
      <c r="P321" s="89">
        <v>2400</v>
      </c>
      <c r="Q321" s="89">
        <v>2400</v>
      </c>
      <c r="R321" s="89">
        <v>2400</v>
      </c>
      <c r="S321" s="89">
        <v>2400</v>
      </c>
      <c r="T321" s="89">
        <v>2600</v>
      </c>
      <c r="U321" s="24">
        <f t="shared" si="111"/>
        <v>29000</v>
      </c>
      <c r="V321" s="21">
        <f t="shared" si="109"/>
        <v>29000</v>
      </c>
    </row>
    <row r="322" spans="1:22" ht="12.75">
      <c r="A322" s="5" t="s">
        <v>42</v>
      </c>
      <c r="B322" s="3" t="s">
        <v>13</v>
      </c>
      <c r="C322" s="164" t="s">
        <v>27</v>
      </c>
      <c r="D322" s="162">
        <v>8810100330</v>
      </c>
      <c r="E322" s="162">
        <v>611</v>
      </c>
      <c r="F322" s="162">
        <v>223</v>
      </c>
      <c r="G322" s="85" t="s">
        <v>98</v>
      </c>
      <c r="H322" s="78">
        <v>72000</v>
      </c>
      <c r="I322" s="89">
        <v>6500</v>
      </c>
      <c r="J322" s="89">
        <v>8000</v>
      </c>
      <c r="K322" s="89">
        <v>8000</v>
      </c>
      <c r="L322" s="89">
        <v>6000</v>
      </c>
      <c r="M322" s="89">
        <v>5000</v>
      </c>
      <c r="N322" s="89">
        <v>3000</v>
      </c>
      <c r="O322" s="89">
        <v>3000</v>
      </c>
      <c r="P322" s="89">
        <v>3000</v>
      </c>
      <c r="Q322" s="89">
        <v>5000</v>
      </c>
      <c r="R322" s="89">
        <v>8000</v>
      </c>
      <c r="S322" s="89">
        <v>8000</v>
      </c>
      <c r="T322" s="89">
        <v>8500</v>
      </c>
      <c r="U322" s="24">
        <f t="shared" si="111"/>
        <v>72000</v>
      </c>
      <c r="V322" s="21">
        <f t="shared" si="109"/>
        <v>72000</v>
      </c>
    </row>
    <row r="323" spans="1:22" ht="12.75">
      <c r="A323" s="5" t="s">
        <v>42</v>
      </c>
      <c r="B323" s="3" t="s">
        <v>13</v>
      </c>
      <c r="C323" s="164" t="s">
        <v>27</v>
      </c>
      <c r="D323" s="162">
        <v>8810100330</v>
      </c>
      <c r="E323" s="162">
        <v>611</v>
      </c>
      <c r="F323" s="162">
        <v>223</v>
      </c>
      <c r="G323" s="85" t="s">
        <v>43</v>
      </c>
      <c r="H323" s="78">
        <v>19000</v>
      </c>
      <c r="I323" s="89">
        <v>1000</v>
      </c>
      <c r="J323" s="89">
        <v>1000</v>
      </c>
      <c r="K323" s="89">
        <v>1000</v>
      </c>
      <c r="L323" s="89">
        <v>1200</v>
      </c>
      <c r="M323" s="89">
        <v>1200</v>
      </c>
      <c r="N323" s="89">
        <v>3000</v>
      </c>
      <c r="O323" s="89">
        <v>3000</v>
      </c>
      <c r="P323" s="89">
        <v>3000</v>
      </c>
      <c r="Q323" s="89">
        <v>1100</v>
      </c>
      <c r="R323" s="89">
        <v>1000</v>
      </c>
      <c r="S323" s="89">
        <v>1000</v>
      </c>
      <c r="T323" s="89">
        <v>1500</v>
      </c>
      <c r="U323" s="24">
        <f t="shared" si="111"/>
        <v>19000</v>
      </c>
      <c r="V323" s="21">
        <f t="shared" si="109"/>
        <v>19000</v>
      </c>
    </row>
    <row r="324" spans="1:22" ht="12.75">
      <c r="A324" s="5" t="s">
        <v>42</v>
      </c>
      <c r="B324" s="3" t="s">
        <v>13</v>
      </c>
      <c r="C324" s="164" t="s">
        <v>27</v>
      </c>
      <c r="D324" s="162">
        <v>8810100330</v>
      </c>
      <c r="E324" s="162">
        <v>611</v>
      </c>
      <c r="F324" s="162">
        <v>223</v>
      </c>
      <c r="G324" s="85" t="s">
        <v>45</v>
      </c>
      <c r="H324" s="78">
        <v>80000</v>
      </c>
      <c r="I324" s="89">
        <v>11800</v>
      </c>
      <c r="J324" s="89">
        <v>10760</v>
      </c>
      <c r="K324" s="89">
        <v>3500</v>
      </c>
      <c r="L324" s="89">
        <v>6500</v>
      </c>
      <c r="M324" s="89">
        <v>0</v>
      </c>
      <c r="N324" s="89">
        <v>0</v>
      </c>
      <c r="O324" s="89">
        <v>0</v>
      </c>
      <c r="P324" s="89">
        <v>0</v>
      </c>
      <c r="Q324" s="89">
        <v>0</v>
      </c>
      <c r="R324" s="89">
        <v>9600</v>
      </c>
      <c r="S324" s="89">
        <v>17500</v>
      </c>
      <c r="T324" s="89">
        <v>20340</v>
      </c>
      <c r="U324" s="24">
        <f t="shared" si="111"/>
        <v>80000</v>
      </c>
      <c r="V324" s="21">
        <f t="shared" si="109"/>
        <v>80000</v>
      </c>
    </row>
    <row r="325" spans="1:22" ht="25.5">
      <c r="A325" s="5" t="s">
        <v>42</v>
      </c>
      <c r="B325" s="72" t="s">
        <v>71</v>
      </c>
      <c r="C325" s="164" t="s">
        <v>27</v>
      </c>
      <c r="D325" s="162">
        <v>8810100330</v>
      </c>
      <c r="E325" s="162">
        <v>611</v>
      </c>
      <c r="F325" s="162">
        <v>225</v>
      </c>
      <c r="G325" s="85"/>
      <c r="H325" s="78">
        <v>54000</v>
      </c>
      <c r="I325" s="78">
        <v>0</v>
      </c>
      <c r="J325" s="78">
        <v>0</v>
      </c>
      <c r="K325" s="78">
        <v>0</v>
      </c>
      <c r="L325" s="78">
        <v>29000</v>
      </c>
      <c r="M325" s="78">
        <v>0</v>
      </c>
      <c r="N325" s="78">
        <v>0</v>
      </c>
      <c r="O325" s="78">
        <v>0</v>
      </c>
      <c r="P325" s="78">
        <v>0</v>
      </c>
      <c r="Q325" s="78">
        <v>0</v>
      </c>
      <c r="R325" s="78">
        <v>25000</v>
      </c>
      <c r="S325" s="78">
        <v>0</v>
      </c>
      <c r="T325" s="78">
        <v>0</v>
      </c>
      <c r="U325" s="24">
        <f t="shared" si="111"/>
        <v>54000</v>
      </c>
      <c r="V325" s="21">
        <f t="shared" si="109"/>
        <v>54000</v>
      </c>
    </row>
    <row r="326" spans="1:22" ht="12.75">
      <c r="A326" s="5" t="s">
        <v>42</v>
      </c>
      <c r="B326" s="3" t="s">
        <v>16</v>
      </c>
      <c r="C326" s="164" t="s">
        <v>27</v>
      </c>
      <c r="D326" s="162">
        <v>8810100330</v>
      </c>
      <c r="E326" s="162">
        <v>611</v>
      </c>
      <c r="F326" s="162">
        <v>290</v>
      </c>
      <c r="G326" s="85" t="s">
        <v>60</v>
      </c>
      <c r="H326" s="78">
        <v>102000</v>
      </c>
      <c r="I326" s="89">
        <v>0</v>
      </c>
      <c r="J326" s="89">
        <v>0</v>
      </c>
      <c r="K326" s="89">
        <v>0</v>
      </c>
      <c r="L326" s="89">
        <v>25600</v>
      </c>
      <c r="M326" s="89">
        <v>0</v>
      </c>
      <c r="N326" s="89">
        <v>0</v>
      </c>
      <c r="O326" s="89">
        <v>25600</v>
      </c>
      <c r="P326" s="89">
        <v>0</v>
      </c>
      <c r="Q326" s="89">
        <v>0</v>
      </c>
      <c r="R326" s="89">
        <v>25400</v>
      </c>
      <c r="S326" s="89">
        <v>0</v>
      </c>
      <c r="T326" s="89">
        <v>25400</v>
      </c>
      <c r="U326" s="24">
        <f t="shared" si="111"/>
        <v>102000</v>
      </c>
      <c r="V326" s="21">
        <f t="shared" si="109"/>
        <v>102000</v>
      </c>
    </row>
    <row r="327" spans="1:22" ht="12.75" hidden="1">
      <c r="A327" s="5" t="s">
        <v>42</v>
      </c>
      <c r="B327" s="3" t="s">
        <v>18</v>
      </c>
      <c r="C327" s="128" t="s">
        <v>27</v>
      </c>
      <c r="D327" s="127">
        <v>8810100330</v>
      </c>
      <c r="E327" s="127">
        <v>611</v>
      </c>
      <c r="F327" s="127">
        <v>310</v>
      </c>
      <c r="G327" s="85"/>
      <c r="H327" s="78">
        <v>0</v>
      </c>
      <c r="I327" s="89">
        <v>0</v>
      </c>
      <c r="J327" s="89">
        <v>0</v>
      </c>
      <c r="K327" s="89">
        <v>0</v>
      </c>
      <c r="L327" s="89">
        <v>0</v>
      </c>
      <c r="M327" s="89">
        <v>0</v>
      </c>
      <c r="N327" s="89">
        <v>0</v>
      </c>
      <c r="O327" s="89">
        <v>0</v>
      </c>
      <c r="P327" s="89">
        <v>0</v>
      </c>
      <c r="Q327" s="89">
        <v>0</v>
      </c>
      <c r="R327" s="89">
        <v>0</v>
      </c>
      <c r="S327" s="89">
        <v>0</v>
      </c>
      <c r="T327" s="89">
        <v>0</v>
      </c>
      <c r="U327" s="24">
        <f t="shared" si="111"/>
        <v>0</v>
      </c>
      <c r="V327" s="21">
        <f t="shared" si="109"/>
        <v>0</v>
      </c>
    </row>
    <row r="328" spans="1:22" ht="12.75">
      <c r="A328" s="5" t="s">
        <v>42</v>
      </c>
      <c r="B328" s="3" t="s">
        <v>17</v>
      </c>
      <c r="C328" s="164" t="s">
        <v>27</v>
      </c>
      <c r="D328" s="162">
        <v>8810100330</v>
      </c>
      <c r="E328" s="162">
        <v>611</v>
      </c>
      <c r="F328" s="162">
        <v>340</v>
      </c>
      <c r="G328" s="85"/>
      <c r="H328" s="78">
        <v>50000</v>
      </c>
      <c r="I328" s="89">
        <v>0</v>
      </c>
      <c r="J328" s="89">
        <v>0</v>
      </c>
      <c r="K328" s="89">
        <v>0</v>
      </c>
      <c r="L328" s="89">
        <v>5000</v>
      </c>
      <c r="M328" s="89">
        <v>0</v>
      </c>
      <c r="N328" s="89">
        <v>0</v>
      </c>
      <c r="O328" s="89">
        <v>25000</v>
      </c>
      <c r="P328" s="89">
        <v>0</v>
      </c>
      <c r="Q328" s="89">
        <v>0</v>
      </c>
      <c r="R328" s="89">
        <v>20000</v>
      </c>
      <c r="S328" s="89">
        <v>0</v>
      </c>
      <c r="T328" s="89">
        <v>0</v>
      </c>
      <c r="U328" s="24">
        <f t="shared" si="111"/>
        <v>50000</v>
      </c>
      <c r="V328" s="21">
        <f t="shared" si="109"/>
        <v>50000</v>
      </c>
    </row>
    <row r="329" spans="1:22" ht="12.75">
      <c r="A329" s="98"/>
      <c r="B329" s="72"/>
      <c r="C329" s="128"/>
      <c r="D329" s="127"/>
      <c r="E329" s="127"/>
      <c r="F329" s="127"/>
      <c r="G329" s="85"/>
      <c r="H329" s="78"/>
      <c r="I329" s="89"/>
      <c r="J329" s="89"/>
      <c r="K329" s="89"/>
      <c r="L329" s="89"/>
      <c r="M329" s="89"/>
      <c r="N329" s="89"/>
      <c r="O329" s="89"/>
      <c r="P329" s="89"/>
      <c r="Q329" s="89"/>
      <c r="R329" s="89"/>
      <c r="S329" s="89"/>
      <c r="T329" s="89"/>
      <c r="U329" s="24"/>
      <c r="V329" s="21">
        <f t="shared" si="109"/>
        <v>0</v>
      </c>
    </row>
    <row r="330" spans="1:22" ht="66" customHeight="1">
      <c r="A330" s="5" t="s">
        <v>42</v>
      </c>
      <c r="B330" s="35" t="s">
        <v>160</v>
      </c>
      <c r="C330" s="148" t="s">
        <v>27</v>
      </c>
      <c r="D330" s="161">
        <v>8820000000</v>
      </c>
      <c r="E330" s="161"/>
      <c r="F330" s="161"/>
      <c r="G330" s="37"/>
      <c r="H330" s="39">
        <f aca="true" t="shared" si="112" ref="H330:T330">H331</f>
        <v>234000</v>
      </c>
      <c r="I330" s="39">
        <f t="shared" si="112"/>
        <v>10000</v>
      </c>
      <c r="J330" s="39">
        <f t="shared" si="112"/>
        <v>10000</v>
      </c>
      <c r="K330" s="39">
        <f t="shared" si="112"/>
        <v>2200</v>
      </c>
      <c r="L330" s="39">
        <f t="shared" si="112"/>
        <v>16100</v>
      </c>
      <c r="M330" s="39">
        <f t="shared" si="112"/>
        <v>30000</v>
      </c>
      <c r="N330" s="39">
        <f t="shared" si="112"/>
        <v>16100</v>
      </c>
      <c r="O330" s="39">
        <f t="shared" si="112"/>
        <v>16100</v>
      </c>
      <c r="P330" s="39">
        <f t="shared" si="112"/>
        <v>16100</v>
      </c>
      <c r="Q330" s="39">
        <f t="shared" si="112"/>
        <v>16100</v>
      </c>
      <c r="R330" s="39">
        <f t="shared" si="112"/>
        <v>30000</v>
      </c>
      <c r="S330" s="39">
        <f t="shared" si="112"/>
        <v>16100</v>
      </c>
      <c r="T330" s="39">
        <f t="shared" si="112"/>
        <v>55200</v>
      </c>
      <c r="U330" s="24">
        <f>I330+J330+K330+L330+M330+N330+O330+P330+Q330+R330+S330+T330</f>
        <v>234000</v>
      </c>
      <c r="V330" s="21">
        <f t="shared" si="109"/>
        <v>234000</v>
      </c>
    </row>
    <row r="331" spans="1:22" ht="14.25" customHeight="1">
      <c r="A331" s="5" t="s">
        <v>42</v>
      </c>
      <c r="B331" s="3" t="s">
        <v>16</v>
      </c>
      <c r="C331" s="164" t="s">
        <v>27</v>
      </c>
      <c r="D331" s="162">
        <v>8820100340</v>
      </c>
      <c r="E331" s="162">
        <v>611</v>
      </c>
      <c r="F331" s="162">
        <v>290</v>
      </c>
      <c r="G331" s="86"/>
      <c r="H331" s="89">
        <v>234000</v>
      </c>
      <c r="I331" s="89">
        <v>10000</v>
      </c>
      <c r="J331" s="89">
        <v>10000</v>
      </c>
      <c r="K331" s="89">
        <v>2200</v>
      </c>
      <c r="L331" s="89">
        <v>16100</v>
      </c>
      <c r="M331" s="89">
        <v>30000</v>
      </c>
      <c r="N331" s="89">
        <v>16100</v>
      </c>
      <c r="O331" s="89">
        <v>16100</v>
      </c>
      <c r="P331" s="89">
        <v>16100</v>
      </c>
      <c r="Q331" s="89">
        <v>16100</v>
      </c>
      <c r="R331" s="89">
        <v>30000</v>
      </c>
      <c r="S331" s="89">
        <v>16100</v>
      </c>
      <c r="T331" s="89">
        <v>55200</v>
      </c>
      <c r="U331" s="24">
        <f>I331+J331+K331+L331+M331+N331+O331+P331+Q331+R331+S331+T331</f>
        <v>234000</v>
      </c>
      <c r="V331" s="21">
        <f t="shared" si="109"/>
        <v>234000</v>
      </c>
    </row>
    <row r="332" spans="1:22" ht="12.75">
      <c r="A332" s="5"/>
      <c r="B332" s="88"/>
      <c r="C332" s="128"/>
      <c r="D332" s="127"/>
      <c r="E332" s="127"/>
      <c r="F332" s="127"/>
      <c r="G332" s="86"/>
      <c r="H332" s="89"/>
      <c r="I332" s="89"/>
      <c r="J332" s="89"/>
      <c r="K332" s="89"/>
      <c r="L332" s="89"/>
      <c r="M332" s="89"/>
      <c r="N332" s="89"/>
      <c r="O332" s="89"/>
      <c r="P332" s="89"/>
      <c r="Q332" s="89"/>
      <c r="R332" s="89"/>
      <c r="S332" s="89"/>
      <c r="T332" s="89"/>
      <c r="U332" s="24"/>
      <c r="V332" s="21">
        <f t="shared" si="109"/>
        <v>0</v>
      </c>
    </row>
    <row r="333" spans="1:22" ht="89.25">
      <c r="A333" s="5" t="s">
        <v>42</v>
      </c>
      <c r="B333" s="35" t="s">
        <v>161</v>
      </c>
      <c r="C333" s="148" t="s">
        <v>27</v>
      </c>
      <c r="D333" s="161">
        <v>8830000000</v>
      </c>
      <c r="E333" s="124"/>
      <c r="F333" s="124"/>
      <c r="G333" s="183"/>
      <c r="H333" s="39">
        <f>H334+H335</f>
        <v>192140.18</v>
      </c>
      <c r="I333" s="39">
        <f aca="true" t="shared" si="113" ref="I333:S333">I334</f>
        <v>0</v>
      </c>
      <c r="J333" s="39">
        <f t="shared" si="113"/>
        <v>0</v>
      </c>
      <c r="K333" s="39">
        <f t="shared" si="113"/>
        <v>0</v>
      </c>
      <c r="L333" s="39">
        <f t="shared" si="113"/>
        <v>132140.18</v>
      </c>
      <c r="M333" s="39">
        <f t="shared" si="113"/>
        <v>0</v>
      </c>
      <c r="N333" s="39">
        <f t="shared" si="113"/>
        <v>0</v>
      </c>
      <c r="O333" s="39">
        <f t="shared" si="113"/>
        <v>0</v>
      </c>
      <c r="P333" s="39">
        <f t="shared" si="113"/>
        <v>0</v>
      </c>
      <c r="Q333" s="39">
        <f t="shared" si="113"/>
        <v>0</v>
      </c>
      <c r="R333" s="39">
        <f t="shared" si="113"/>
        <v>0</v>
      </c>
      <c r="S333" s="39">
        <f t="shared" si="113"/>
        <v>0</v>
      </c>
      <c r="T333" s="39">
        <f>T334+T335</f>
        <v>60000</v>
      </c>
      <c r="U333" s="24">
        <f>I333+J333+K333+L333+M333+N333+O333+P333+Q333+R333+S333+T333</f>
        <v>192140.18</v>
      </c>
      <c r="V333" s="21">
        <f>V334+V335</f>
        <v>192140.18</v>
      </c>
    </row>
    <row r="334" spans="1:22" ht="12.75">
      <c r="A334" s="5" t="s">
        <v>42</v>
      </c>
      <c r="B334" s="3" t="s">
        <v>16</v>
      </c>
      <c r="C334" s="164" t="s">
        <v>27</v>
      </c>
      <c r="D334" s="162">
        <v>8830110390</v>
      </c>
      <c r="E334" s="162">
        <v>414</v>
      </c>
      <c r="F334" s="162">
        <v>290</v>
      </c>
      <c r="G334" s="86"/>
      <c r="H334" s="89">
        <v>132140.18</v>
      </c>
      <c r="I334" s="89">
        <v>0</v>
      </c>
      <c r="J334" s="89">
        <v>0</v>
      </c>
      <c r="K334" s="89">
        <v>0</v>
      </c>
      <c r="L334" s="89">
        <v>132140.18</v>
      </c>
      <c r="M334" s="89">
        <v>0</v>
      </c>
      <c r="N334" s="89">
        <v>0</v>
      </c>
      <c r="O334" s="89">
        <v>0</v>
      </c>
      <c r="P334" s="89">
        <v>0</v>
      </c>
      <c r="Q334" s="89">
        <v>0</v>
      </c>
      <c r="R334" s="89">
        <v>0</v>
      </c>
      <c r="S334" s="89">
        <v>0</v>
      </c>
      <c r="T334" s="89">
        <v>0</v>
      </c>
      <c r="U334" s="24">
        <f>I334+J334+K334+L334+M334+N334+O334+P334+Q334+R334+S334+T334</f>
        <v>132140.18</v>
      </c>
      <c r="V334" s="21">
        <f aca="true" t="shared" si="114" ref="V334:V347">SUM(I334:T334)</f>
        <v>132140.18</v>
      </c>
    </row>
    <row r="335" spans="1:22" ht="12.75">
      <c r="A335" s="5"/>
      <c r="B335" s="88"/>
      <c r="C335" s="128"/>
      <c r="D335" s="127"/>
      <c r="E335" s="162">
        <v>244</v>
      </c>
      <c r="F335" s="162">
        <v>226</v>
      </c>
      <c r="G335" s="86"/>
      <c r="H335" s="89">
        <v>60000</v>
      </c>
      <c r="I335" s="89">
        <v>0</v>
      </c>
      <c r="J335" s="89">
        <v>0</v>
      </c>
      <c r="K335" s="89">
        <v>0</v>
      </c>
      <c r="L335" s="89">
        <v>0</v>
      </c>
      <c r="M335" s="89">
        <v>0</v>
      </c>
      <c r="N335" s="89">
        <v>0</v>
      </c>
      <c r="O335" s="89">
        <v>0</v>
      </c>
      <c r="P335" s="89">
        <v>0</v>
      </c>
      <c r="Q335" s="89">
        <v>0</v>
      </c>
      <c r="R335" s="89">
        <v>0</v>
      </c>
      <c r="S335" s="89">
        <v>0</v>
      </c>
      <c r="T335" s="89">
        <v>60000</v>
      </c>
      <c r="U335" s="24"/>
      <c r="V335" s="21">
        <f t="shared" si="114"/>
        <v>60000</v>
      </c>
    </row>
    <row r="336" spans="1:22" ht="89.25">
      <c r="A336" s="5" t="s">
        <v>42</v>
      </c>
      <c r="B336" s="35" t="s">
        <v>154</v>
      </c>
      <c r="C336" s="148" t="s">
        <v>27</v>
      </c>
      <c r="D336" s="161">
        <v>8400000000</v>
      </c>
      <c r="E336" s="161"/>
      <c r="F336" s="161"/>
      <c r="G336" s="37"/>
      <c r="H336" s="39">
        <f aca="true" t="shared" si="115" ref="H336:T336">H337</f>
        <v>10000</v>
      </c>
      <c r="I336" s="39">
        <f t="shared" si="115"/>
        <v>0</v>
      </c>
      <c r="J336" s="39">
        <f t="shared" si="115"/>
        <v>0</v>
      </c>
      <c r="K336" s="39">
        <f t="shared" si="115"/>
        <v>0</v>
      </c>
      <c r="L336" s="39">
        <f t="shared" si="115"/>
        <v>0</v>
      </c>
      <c r="M336" s="39">
        <f t="shared" si="115"/>
        <v>0</v>
      </c>
      <c r="N336" s="39">
        <f t="shared" si="115"/>
        <v>0</v>
      </c>
      <c r="O336" s="39">
        <f t="shared" si="115"/>
        <v>10000</v>
      </c>
      <c r="P336" s="39">
        <f t="shared" si="115"/>
        <v>0</v>
      </c>
      <c r="Q336" s="39">
        <f t="shared" si="115"/>
        <v>0</v>
      </c>
      <c r="R336" s="39">
        <f t="shared" si="115"/>
        <v>0</v>
      </c>
      <c r="S336" s="39">
        <f t="shared" si="115"/>
        <v>0</v>
      </c>
      <c r="T336" s="39">
        <f t="shared" si="115"/>
        <v>0</v>
      </c>
      <c r="U336" s="24">
        <f>I336+J336+K336+L336+M336+N336+O336+P336+Q336+R336+S336+T336</f>
        <v>10000</v>
      </c>
      <c r="V336" s="21">
        <f t="shared" si="114"/>
        <v>10000</v>
      </c>
    </row>
    <row r="337" spans="1:22" ht="12.75">
      <c r="A337" s="5" t="s">
        <v>42</v>
      </c>
      <c r="B337" s="3" t="s">
        <v>16</v>
      </c>
      <c r="C337" s="164" t="s">
        <v>27</v>
      </c>
      <c r="D337" s="162">
        <v>8410110290</v>
      </c>
      <c r="E337" s="162">
        <v>611</v>
      </c>
      <c r="F337" s="162">
        <v>290</v>
      </c>
      <c r="G337" s="86"/>
      <c r="H337" s="89">
        <v>10000</v>
      </c>
      <c r="I337" s="89">
        <v>0</v>
      </c>
      <c r="J337" s="89">
        <v>0</v>
      </c>
      <c r="K337" s="89">
        <v>0</v>
      </c>
      <c r="L337" s="89">
        <v>0</v>
      </c>
      <c r="M337" s="89">
        <v>0</v>
      </c>
      <c r="N337" s="89">
        <v>0</v>
      </c>
      <c r="O337" s="89">
        <v>10000</v>
      </c>
      <c r="P337" s="89">
        <v>0</v>
      </c>
      <c r="Q337" s="89">
        <v>0</v>
      </c>
      <c r="R337" s="89">
        <v>0</v>
      </c>
      <c r="S337" s="89">
        <v>0</v>
      </c>
      <c r="T337" s="89">
        <v>0</v>
      </c>
      <c r="U337" s="24">
        <f>I337+J337+K337+L337+M337+N337+O337+P337+Q337+R337+S337+T337</f>
        <v>10000</v>
      </c>
      <c r="V337" s="21">
        <f t="shared" si="114"/>
        <v>10000</v>
      </c>
    </row>
    <row r="338" spans="1:22" ht="12.75">
      <c r="A338" s="5"/>
      <c r="B338" s="88"/>
      <c r="C338" s="128"/>
      <c r="D338" s="127"/>
      <c r="E338" s="127"/>
      <c r="F338" s="127"/>
      <c r="G338" s="86"/>
      <c r="H338" s="89"/>
      <c r="I338" s="89"/>
      <c r="J338" s="89"/>
      <c r="K338" s="89"/>
      <c r="L338" s="89"/>
      <c r="M338" s="89"/>
      <c r="N338" s="89"/>
      <c r="O338" s="89"/>
      <c r="P338" s="89"/>
      <c r="Q338" s="89"/>
      <c r="R338" s="89"/>
      <c r="S338" s="89"/>
      <c r="T338" s="89"/>
      <c r="U338" s="24"/>
      <c r="V338" s="21">
        <f t="shared" si="114"/>
        <v>0</v>
      </c>
    </row>
    <row r="339" spans="1:22" ht="12.75">
      <c r="A339" s="5"/>
      <c r="B339" s="29" t="s">
        <v>53</v>
      </c>
      <c r="C339" s="180" t="s">
        <v>27</v>
      </c>
      <c r="D339" s="127"/>
      <c r="E339" s="127"/>
      <c r="F339" s="127"/>
      <c r="G339" s="86"/>
      <c r="H339" s="92">
        <f aca="true" t="shared" si="116" ref="H339:T339">H314+H336</f>
        <v>5042540.18</v>
      </c>
      <c r="I339" s="91">
        <f t="shared" si="116"/>
        <v>381500</v>
      </c>
      <c r="J339" s="91">
        <f t="shared" si="116"/>
        <v>265560</v>
      </c>
      <c r="K339" s="91">
        <f t="shared" si="116"/>
        <v>238500</v>
      </c>
      <c r="L339" s="91">
        <f t="shared" si="116"/>
        <v>575340.1799999999</v>
      </c>
      <c r="M339" s="91">
        <f t="shared" si="116"/>
        <v>325385</v>
      </c>
      <c r="N339" s="91">
        <f t="shared" si="116"/>
        <v>238900</v>
      </c>
      <c r="O339" s="91">
        <f t="shared" si="116"/>
        <v>436500</v>
      </c>
      <c r="P339" s="91">
        <f t="shared" si="116"/>
        <v>375900</v>
      </c>
      <c r="Q339" s="91">
        <f t="shared" si="116"/>
        <v>376000</v>
      </c>
      <c r="R339" s="91">
        <f t="shared" si="116"/>
        <v>587415</v>
      </c>
      <c r="S339" s="91">
        <f t="shared" si="116"/>
        <v>515600</v>
      </c>
      <c r="T339" s="91">
        <f t="shared" si="116"/>
        <v>725940</v>
      </c>
      <c r="U339" s="24">
        <f aca="true" t="shared" si="117" ref="U339:U345">I339+J339+K339+L339+M339+N339+O339+P339+Q339+R339+S339+T339</f>
        <v>5042540.18</v>
      </c>
      <c r="V339" s="21">
        <f t="shared" si="114"/>
        <v>5042540.18</v>
      </c>
    </row>
    <row r="340" spans="1:22" ht="12.75">
      <c r="A340" s="5"/>
      <c r="B340" s="76"/>
      <c r="C340" s="136"/>
      <c r="D340" s="127"/>
      <c r="E340" s="127"/>
      <c r="F340" s="127"/>
      <c r="G340" s="86"/>
      <c r="H340" s="92"/>
      <c r="I340" s="91"/>
      <c r="J340" s="91"/>
      <c r="K340" s="91"/>
      <c r="L340" s="91"/>
      <c r="M340" s="91"/>
      <c r="N340" s="91"/>
      <c r="O340" s="91"/>
      <c r="P340" s="91"/>
      <c r="Q340" s="91"/>
      <c r="R340" s="91"/>
      <c r="S340" s="91"/>
      <c r="T340" s="91"/>
      <c r="U340" s="24">
        <f t="shared" si="117"/>
        <v>0</v>
      </c>
      <c r="V340" s="21">
        <f t="shared" si="114"/>
        <v>0</v>
      </c>
    </row>
    <row r="341" spans="1:22" ht="38.25" hidden="1">
      <c r="A341" s="5" t="s">
        <v>42</v>
      </c>
      <c r="B341" s="110" t="s">
        <v>109</v>
      </c>
      <c r="C341" s="116" t="s">
        <v>110</v>
      </c>
      <c r="D341" s="117">
        <v>9510010520</v>
      </c>
      <c r="E341" s="117"/>
      <c r="F341" s="117"/>
      <c r="G341" s="111"/>
      <c r="H341" s="112">
        <f aca="true" t="shared" si="118" ref="H341:T341">H342</f>
        <v>0</v>
      </c>
      <c r="I341" s="112">
        <f t="shared" si="118"/>
        <v>0</v>
      </c>
      <c r="J341" s="112">
        <f t="shared" si="118"/>
        <v>0</v>
      </c>
      <c r="K341" s="112">
        <f t="shared" si="118"/>
        <v>0</v>
      </c>
      <c r="L341" s="112">
        <f t="shared" si="118"/>
        <v>0</v>
      </c>
      <c r="M341" s="112">
        <f t="shared" si="118"/>
        <v>0</v>
      </c>
      <c r="N341" s="112">
        <f t="shared" si="118"/>
        <v>0</v>
      </c>
      <c r="O341" s="112">
        <f t="shared" si="118"/>
        <v>0</v>
      </c>
      <c r="P341" s="112">
        <f t="shared" si="118"/>
        <v>0</v>
      </c>
      <c r="Q341" s="112">
        <f t="shared" si="118"/>
        <v>0</v>
      </c>
      <c r="R341" s="112">
        <f t="shared" si="118"/>
        <v>0</v>
      </c>
      <c r="S341" s="112">
        <f t="shared" si="118"/>
        <v>0</v>
      </c>
      <c r="T341" s="112">
        <f t="shared" si="118"/>
        <v>0</v>
      </c>
      <c r="U341" s="24">
        <f t="shared" si="117"/>
        <v>0</v>
      </c>
      <c r="V341" s="21">
        <f t="shared" si="114"/>
        <v>0</v>
      </c>
    </row>
    <row r="342" spans="1:22" ht="25.5" hidden="1">
      <c r="A342" s="5" t="s">
        <v>42</v>
      </c>
      <c r="B342" s="3" t="s">
        <v>16</v>
      </c>
      <c r="C342" s="142" t="s">
        <v>110</v>
      </c>
      <c r="D342" s="127">
        <v>9510010520</v>
      </c>
      <c r="E342" s="127">
        <v>870</v>
      </c>
      <c r="F342" s="127">
        <v>290</v>
      </c>
      <c r="G342" s="109" t="s">
        <v>111</v>
      </c>
      <c r="H342" s="89">
        <v>0</v>
      </c>
      <c r="I342" s="89">
        <v>0</v>
      </c>
      <c r="J342" s="89">
        <v>0</v>
      </c>
      <c r="K342" s="89">
        <v>0</v>
      </c>
      <c r="L342" s="89">
        <v>0</v>
      </c>
      <c r="M342" s="89">
        <v>0</v>
      </c>
      <c r="N342" s="89">
        <v>0</v>
      </c>
      <c r="O342" s="89">
        <v>0</v>
      </c>
      <c r="P342" s="89">
        <v>0</v>
      </c>
      <c r="Q342" s="89">
        <v>0</v>
      </c>
      <c r="R342" s="89">
        <v>0</v>
      </c>
      <c r="S342" s="89">
        <v>0</v>
      </c>
      <c r="T342" s="89">
        <v>0</v>
      </c>
      <c r="U342" s="24">
        <f t="shared" si="117"/>
        <v>0</v>
      </c>
      <c r="V342" s="21">
        <f t="shared" si="114"/>
        <v>0</v>
      </c>
    </row>
    <row r="343" spans="1:22" ht="12.75">
      <c r="A343" s="5"/>
      <c r="B343" s="76"/>
      <c r="C343" s="136"/>
      <c r="D343" s="127"/>
      <c r="E343" s="127"/>
      <c r="F343" s="127"/>
      <c r="G343" s="86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24">
        <f t="shared" si="117"/>
        <v>0</v>
      </c>
      <c r="V343" s="21">
        <f t="shared" si="114"/>
        <v>0</v>
      </c>
    </row>
    <row r="344" spans="1:22" ht="12.75">
      <c r="A344" s="5"/>
      <c r="B344" s="76"/>
      <c r="C344" s="136"/>
      <c r="D344" s="127"/>
      <c r="E344" s="127"/>
      <c r="F344" s="127"/>
      <c r="G344" s="86"/>
      <c r="H344" s="91"/>
      <c r="I344" s="89"/>
      <c r="J344" s="89"/>
      <c r="K344" s="89"/>
      <c r="L344" s="89"/>
      <c r="M344" s="89"/>
      <c r="N344" s="89"/>
      <c r="O344" s="89"/>
      <c r="P344" s="89"/>
      <c r="Q344" s="89"/>
      <c r="R344" s="89"/>
      <c r="S344" s="89"/>
      <c r="T344" s="89"/>
      <c r="U344" s="24">
        <f t="shared" si="117"/>
        <v>0</v>
      </c>
      <c r="V344" s="21">
        <f t="shared" si="114"/>
        <v>0</v>
      </c>
    </row>
    <row r="345" spans="1:22" ht="12.75">
      <c r="A345" s="53"/>
      <c r="B345" s="54" t="s">
        <v>99</v>
      </c>
      <c r="C345" s="95"/>
      <c r="D345" s="84"/>
      <c r="E345" s="84"/>
      <c r="F345" s="84"/>
      <c r="G345" s="93"/>
      <c r="H345" s="94">
        <f aca="true" t="shared" si="119" ref="H345:T345">H339</f>
        <v>5042540.18</v>
      </c>
      <c r="I345" s="94">
        <f t="shared" si="119"/>
        <v>381500</v>
      </c>
      <c r="J345" s="94">
        <f t="shared" si="119"/>
        <v>265560</v>
      </c>
      <c r="K345" s="94">
        <f t="shared" si="119"/>
        <v>238500</v>
      </c>
      <c r="L345" s="94">
        <f t="shared" si="119"/>
        <v>575340.1799999999</v>
      </c>
      <c r="M345" s="94">
        <f t="shared" si="119"/>
        <v>325385</v>
      </c>
      <c r="N345" s="94">
        <f t="shared" si="119"/>
        <v>238900</v>
      </c>
      <c r="O345" s="94">
        <f t="shared" si="119"/>
        <v>436500</v>
      </c>
      <c r="P345" s="94">
        <f t="shared" si="119"/>
        <v>375900</v>
      </c>
      <c r="Q345" s="94">
        <f t="shared" si="119"/>
        <v>376000</v>
      </c>
      <c r="R345" s="94">
        <f t="shared" si="119"/>
        <v>587415</v>
      </c>
      <c r="S345" s="94">
        <f t="shared" si="119"/>
        <v>515600</v>
      </c>
      <c r="T345" s="94">
        <f t="shared" si="119"/>
        <v>725940</v>
      </c>
      <c r="U345" s="24">
        <f t="shared" si="117"/>
        <v>5042540.18</v>
      </c>
      <c r="V345" s="199">
        <f t="shared" si="114"/>
        <v>5042540.18</v>
      </c>
    </row>
    <row r="346" spans="1:22" ht="12.75">
      <c r="A346" s="5"/>
      <c r="B346" s="76"/>
      <c r="C346" s="73"/>
      <c r="D346" s="50"/>
      <c r="E346" s="50"/>
      <c r="F346" s="50"/>
      <c r="G346" s="86"/>
      <c r="H346" s="91"/>
      <c r="I346" s="89"/>
      <c r="J346" s="89"/>
      <c r="K346" s="89"/>
      <c r="L346" s="89"/>
      <c r="M346" s="89"/>
      <c r="N346" s="89"/>
      <c r="O346" s="89"/>
      <c r="P346" s="89"/>
      <c r="Q346" s="89"/>
      <c r="R346" s="89"/>
      <c r="S346" s="89"/>
      <c r="T346" s="89"/>
      <c r="U346" s="24"/>
      <c r="V346" s="21">
        <f t="shared" si="114"/>
        <v>0</v>
      </c>
    </row>
    <row r="347" spans="1:22" ht="12.75">
      <c r="A347" s="5"/>
      <c r="B347" s="88"/>
      <c r="C347" s="49"/>
      <c r="D347" s="50"/>
      <c r="E347" s="50"/>
      <c r="F347" s="50"/>
      <c r="G347" s="86"/>
      <c r="H347" s="89"/>
      <c r="I347" s="89"/>
      <c r="J347" s="89"/>
      <c r="K347" s="89"/>
      <c r="L347" s="89"/>
      <c r="M347" s="89"/>
      <c r="N347" s="89"/>
      <c r="O347" s="89"/>
      <c r="P347" s="89"/>
      <c r="Q347" s="89"/>
      <c r="R347" s="89"/>
      <c r="S347" s="89"/>
      <c r="T347" s="89"/>
      <c r="U347" s="24"/>
      <c r="V347" s="21">
        <f t="shared" si="114"/>
        <v>0</v>
      </c>
    </row>
    <row r="348" spans="1:22" ht="15">
      <c r="A348" s="5"/>
      <c r="B348" s="231" t="s">
        <v>28</v>
      </c>
      <c r="C348" s="231"/>
      <c r="D348" s="231"/>
      <c r="E348" s="231"/>
      <c r="F348" s="231"/>
      <c r="G348" s="232"/>
      <c r="H348" s="99">
        <f aca="true" t="shared" si="120" ref="H348:T348">H114+H122+H142+H171+H225+H236+H300+H312+H345+H341</f>
        <v>63586453.800000004</v>
      </c>
      <c r="I348" s="99">
        <f t="shared" si="120"/>
        <v>2508157.35</v>
      </c>
      <c r="J348" s="99">
        <f t="shared" si="120"/>
        <v>3494609.4899999998</v>
      </c>
      <c r="K348" s="99">
        <f t="shared" si="120"/>
        <v>2433369</v>
      </c>
      <c r="L348" s="99">
        <f t="shared" si="120"/>
        <v>3760497.1799999997</v>
      </c>
      <c r="M348" s="99">
        <f t="shared" si="120"/>
        <v>2957750</v>
      </c>
      <c r="N348" s="99">
        <f t="shared" si="120"/>
        <v>2691133.67</v>
      </c>
      <c r="O348" s="99">
        <f t="shared" si="120"/>
        <v>3388110.7199999997</v>
      </c>
      <c r="P348" s="99">
        <f t="shared" si="120"/>
        <v>4243900</v>
      </c>
      <c r="Q348" s="99">
        <f t="shared" si="120"/>
        <v>3850440</v>
      </c>
      <c r="R348" s="99">
        <f t="shared" si="120"/>
        <v>6000893.73</v>
      </c>
      <c r="S348" s="99">
        <f t="shared" si="120"/>
        <v>18958321.48</v>
      </c>
      <c r="T348" s="99">
        <f t="shared" si="120"/>
        <v>9293271.18</v>
      </c>
      <c r="U348" s="24">
        <f>I348+J348+K348+L348+M348+N348+O348+P348+Q348+R348+S348+T348</f>
        <v>63580453.800000004</v>
      </c>
      <c r="V348" s="21">
        <f>V114+V120+V142+V171+V225+V236+V300+V312+V345</f>
        <v>63586453.800000004</v>
      </c>
    </row>
    <row r="352" spans="1:4" ht="12.75">
      <c r="A352" s="226" t="s">
        <v>164</v>
      </c>
      <c r="B352" s="226"/>
      <c r="C352" s="226"/>
      <c r="D352" s="226"/>
    </row>
    <row r="353" spans="1:11" ht="12.75">
      <c r="A353" s="226" t="s">
        <v>165</v>
      </c>
      <c r="B353" s="226"/>
      <c r="C353" s="226"/>
      <c r="D353" s="226"/>
      <c r="E353" s="226"/>
      <c r="F353" s="226"/>
      <c r="G353" s="226"/>
      <c r="K353" t="s">
        <v>166</v>
      </c>
    </row>
  </sheetData>
  <sheetProtection/>
  <mergeCells count="23">
    <mergeCell ref="A353:G353"/>
    <mergeCell ref="T4:T5"/>
    <mergeCell ref="G272:G273"/>
    <mergeCell ref="G274:G275"/>
    <mergeCell ref="G276:G277"/>
    <mergeCell ref="B348:G348"/>
    <mergeCell ref="N4:N5"/>
    <mergeCell ref="O4:O5"/>
    <mergeCell ref="P4:P5"/>
    <mergeCell ref="K4:K5"/>
    <mergeCell ref="L4:L5"/>
    <mergeCell ref="M4:M5"/>
    <mergeCell ref="A352:D352"/>
    <mergeCell ref="Q4:Q5"/>
    <mergeCell ref="R4:R5"/>
    <mergeCell ref="S4:S5"/>
    <mergeCell ref="A2:T2"/>
    <mergeCell ref="A4:A5"/>
    <mergeCell ref="B4:B5"/>
    <mergeCell ref="C4:G4"/>
    <mergeCell ref="H4:H5"/>
    <mergeCell ref="I4:I5"/>
    <mergeCell ref="J4:J5"/>
  </mergeCells>
  <printOptions/>
  <pageMargins left="0.24" right="0.16" top="0.23" bottom="0.22" header="0.2" footer="0.2"/>
  <pageSetup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2019-03-06T08:40:45Z</cp:lastPrinted>
  <dcterms:created xsi:type="dcterms:W3CDTF">1996-10-08T23:32:33Z</dcterms:created>
  <dcterms:modified xsi:type="dcterms:W3CDTF">2019-04-12T05:22:47Z</dcterms:modified>
  <cp:category/>
  <cp:version/>
  <cp:contentType/>
  <cp:contentStatus/>
</cp:coreProperties>
</file>