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8745" tabRatio="588" activeTab="0"/>
  </bookViews>
  <sheets>
    <sheet name="на 01.04.2019" sheetId="1" r:id="rId1"/>
    <sheet name="на 01.03.2019" sheetId="2" r:id="rId2"/>
    <sheet name="на 19.02.2019" sheetId="3" r:id="rId3"/>
    <sheet name="на 01.02.2019год" sheetId="4" r:id="rId4"/>
    <sheet name="на 22.01.2019 год" sheetId="5" r:id="rId5"/>
    <sheet name="на 2019 год" sheetId="6" r:id="rId6"/>
  </sheets>
  <definedNames>
    <definedName name="_xlnm.Print_Titles" localSheetId="3">'на 01.02.2019год'!$4:$5</definedName>
    <definedName name="_xlnm.Print_Titles" localSheetId="1">'на 01.03.2019'!$4:$5</definedName>
    <definedName name="_xlnm.Print_Titles" localSheetId="0">'на 01.04.2019'!$4:$5</definedName>
    <definedName name="_xlnm.Print_Titles" localSheetId="2">'на 19.02.2019'!$4:$5</definedName>
    <definedName name="_xlnm.Print_Titles" localSheetId="5">'на 2019 год'!$4:$5</definedName>
    <definedName name="_xlnm.Print_Titles" localSheetId="4">'на 22.01.2019 год'!$4:$5</definedName>
    <definedName name="_xlnm.Print_Area" localSheetId="3">'на 01.02.2019год'!$A$1:$T$107</definedName>
    <definedName name="_xlnm.Print_Area" localSheetId="1">'на 01.03.2019'!$A$1:$T$107</definedName>
    <definedName name="_xlnm.Print_Area" localSheetId="0">'на 01.04.2019'!$A$1:$T$107</definedName>
    <definedName name="_xlnm.Print_Area" localSheetId="2">'на 19.02.2019'!$A$1:$T$107</definedName>
    <definedName name="_xlnm.Print_Area" localSheetId="5">'на 2019 год'!$A$1:$T$106</definedName>
    <definedName name="_xlnm.Print_Area" localSheetId="4">'на 22.01.2019 год'!$A$1:$T$107</definedName>
  </definedNames>
  <calcPr fullCalcOnLoad="1"/>
</workbook>
</file>

<file path=xl/sharedStrings.xml><?xml version="1.0" encoding="utf-8"?>
<sst xmlns="http://schemas.openxmlformats.org/spreadsheetml/2006/main" count="461" uniqueCount="87">
  <si>
    <t>Коды бюджетной классификации доходов</t>
  </si>
  <si>
    <t>Сумма на год, всего</t>
  </si>
  <si>
    <t>В том числе на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</si>
  <si>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</si>
  <si>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</si>
  <si>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</si>
  <si>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</si>
  <si>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</si>
  <si>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</si>
  <si>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</si>
  <si>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</si>
  <si>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</si>
  <si>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</si>
  <si>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</si>
  <si>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</si>
  <si>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</si>
  <si>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</si>
  <si>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</si>
  <si>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</si>
  <si>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18210102010010000110</t>
  </si>
  <si>
    <t>18210102030010000110</t>
  </si>
  <si>
    <t>18210102040010000110</t>
  </si>
  <si>
    <t>НДФЛ</t>
  </si>
  <si>
    <t>Аренда земли</t>
  </si>
  <si>
    <t>Доходы от продажи земли</t>
  </si>
  <si>
    <t>Штрафы</t>
  </si>
  <si>
    <t>Земельный налог</t>
  </si>
  <si>
    <t>Доходы от продажи имущества, находящегося в собственности поселений</t>
  </si>
  <si>
    <t>Пр.неналоговые</t>
  </si>
  <si>
    <t xml:space="preserve"> </t>
  </si>
  <si>
    <t>18210102020010000110</t>
  </si>
  <si>
    <t>99211402052100000410</t>
  </si>
  <si>
    <t>99211402053100000410</t>
  </si>
  <si>
    <t>"82111651040020000140</t>
  </si>
  <si>
    <t>"10010302250010000110</t>
  </si>
  <si>
    <t>"10010302230010000110</t>
  </si>
  <si>
    <t>"10010302240010000110</t>
  </si>
  <si>
    <t>"10010302260010000110</t>
  </si>
  <si>
    <t>Акцизы на нефтепродукты</t>
  </si>
  <si>
    <t>16111633050100000140</t>
  </si>
  <si>
    <t>99211690050100000140</t>
  </si>
  <si>
    <t>99211623052100000140</t>
  </si>
  <si>
    <t>81611633050100000140</t>
  </si>
  <si>
    <t>"18210503010010000110 (ЕСХН)</t>
  </si>
  <si>
    <t>18210601030100000110 (НИФЛ)</t>
  </si>
  <si>
    <t>"18210606033100000110 (Зем.ю.л.)</t>
  </si>
  <si>
    <t>"18210606043100000110 (Зем.ф.л.)</t>
  </si>
  <si>
    <t>18210904050100000110 (Задолженность по отменённым налогам)</t>
  </si>
  <si>
    <t>"99211109045100000120 (Прочие поступления от аренды имущества)</t>
  </si>
  <si>
    <t>"99211107015100000120 (Прибыль МУПов)</t>
  </si>
  <si>
    <t>"99211300000000000130 (Доходы от оказания платных услуг и компенсации затрат бюджетов поселений)</t>
  </si>
  <si>
    <t>"99211301000000000130</t>
  </si>
  <si>
    <t>"99211302000000000130</t>
  </si>
  <si>
    <t>99211406013130021430</t>
  </si>
  <si>
    <t>99211406013130026430</t>
  </si>
  <si>
    <t>99211105035100000120 (Аренда имущества)</t>
  </si>
  <si>
    <t>"99211705050100000180 (Прочие неналоговые)</t>
  </si>
  <si>
    <t>ИТОГО ДОХОДОВ</t>
  </si>
  <si>
    <t>Налоговые+неналоговые доходы</t>
  </si>
  <si>
    <t>Безвозмездные поступления всего</t>
  </si>
  <si>
    <t>Безвозмездные  поступления от другого уровня бюджета</t>
  </si>
  <si>
    <t>99211105025100000120</t>
  </si>
  <si>
    <t>82111618050100000140</t>
  </si>
  <si>
    <t>99221905000100000150 (Возврат остатков субсидий и субвенций)</t>
  </si>
  <si>
    <t>"99220705030100000150</t>
  </si>
  <si>
    <t>"99220705020100000150</t>
  </si>
  <si>
    <t>"99220705010100000150</t>
  </si>
  <si>
    <t>"99220705000100000150 Прочие безвозмездные поступления</t>
  </si>
  <si>
    <t>99220203015100000150 (ВУСЫ)</t>
  </si>
  <si>
    <t>99220203024100000150(адм.ком.)</t>
  </si>
  <si>
    <t>99220204999100000150 Прочие межбюджетные трансферты</t>
  </si>
  <si>
    <t>992 20215001 10 0000 150 (дотации край)</t>
  </si>
  <si>
    <t>Кассовый план  доходной части бюджета   Старотитаровского сельского  поселения на  2019 год</t>
  </si>
  <si>
    <t>Исполнитель:Л.В.Кубрак</t>
  </si>
  <si>
    <t>Глава Старотитаровского сельского поселения Темрюкского района</t>
  </si>
  <si>
    <t>А.Г.Титаренко</t>
  </si>
  <si>
    <t>99220203511800000150 (ВУСЫ)</t>
  </si>
  <si>
    <t>992 20229999 10 0000 150 (прочие субсидии)</t>
  </si>
  <si>
    <t>"10010302231010000110</t>
  </si>
  <si>
    <t>"10010302241010000110</t>
  </si>
  <si>
    <t>"10010302251010000110</t>
  </si>
  <si>
    <t>"10010302261010000110</t>
  </si>
  <si>
    <t>Кассовый план  доходной части бюджета   Старотитаровского сельского  поселения на  22 янаря 2019 года (сессия)</t>
  </si>
  <si>
    <t xml:space="preserve">Кассовый план  доходной части бюджета   Старотитаровского сельского  поселения на  1 февраля  2019 года </t>
  </si>
  <si>
    <t>Кассовый план  доходной части бюджета   Старотитаровского сельского  поселения на  19 февраля  2019 года (сессия)</t>
  </si>
  <si>
    <t xml:space="preserve">Кассовый план  доходной части бюджета   Старотитаровского сельского  поселения на  1 марта  2019 года </t>
  </si>
  <si>
    <t xml:space="preserve">Кассовый план  доходной части бюджета   Старотитаровского сельского  поселения на  1 апреля 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</si>
</sst>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&quot;р.&quot;"/>
    <numFmt numFmtId="174" formatCode="0.0"/>
    <numFmt numFmtId="175" formatCode="[$-FC19]d\ mmmm\ yyyy\ &quot;г.&quot;"/>
    <numFmt numFmtId="176" formatCode="000000"/>
    <numFmt numFmtId="177" formatCode="#,##0.00;[Red]\-#,##0.00;0.00"/>
    <numFmt numFmtId="178" formatCode="00\.00\.0"/>
    <numFmt numFmtId="179" formatCode="000\.00\.000\.0"/>
    <numFmt numFmtId="180" formatCode="000"/>
    <numFmt numFmtId="181" formatCode="0000\.00\.00"/>
    <numFmt numFmtId="182" formatCode="0\.00\.0"/>
    <numFmt numFmtId="183" formatCode="#,##0.00_ ;[Red]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62" applyProtection="1">
      <alignment/>
      <protection hidden="1"/>
    </xf>
    <xf numFmtId="0" fontId="3" fillId="0" borderId="0" xfId="62" applyNumberFormat="1" applyFont="1" applyFill="1" applyAlignment="1" applyProtection="1">
      <alignment/>
      <protection hidden="1"/>
    </xf>
    <xf numFmtId="0" fontId="2" fillId="0" borderId="0" xfId="62">
      <alignment/>
      <protection/>
    </xf>
    <xf numFmtId="0" fontId="2" fillId="0" borderId="0" xfId="62" applyNumberFormat="1" applyFont="1" applyFill="1" applyAlignment="1" applyProtection="1">
      <alignment horizontal="centerContinuous"/>
      <protection hidden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2" applyNumberFormat="1" applyFont="1" applyFill="1" applyBorder="1" applyAlignment="1" applyProtection="1">
      <alignment/>
      <protection hidden="1"/>
    </xf>
    <xf numFmtId="0" fontId="3" fillId="0" borderId="12" xfId="62" applyNumberFormat="1" applyFont="1" applyFill="1" applyBorder="1" applyAlignment="1" applyProtection="1">
      <alignment/>
      <protection hidden="1"/>
    </xf>
    <xf numFmtId="0" fontId="3" fillId="0" borderId="10" xfId="62" applyNumberFormat="1" applyFont="1" applyFill="1" applyBorder="1" applyAlignment="1" applyProtection="1">
      <alignment/>
      <protection hidden="1"/>
    </xf>
    <xf numFmtId="0" fontId="2" fillId="0" borderId="10" xfId="62" applyBorder="1">
      <alignment/>
      <protection/>
    </xf>
    <xf numFmtId="0" fontId="3" fillId="33" borderId="13" xfId="6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62" applyFont="1" applyProtection="1">
      <alignment/>
      <protection hidden="1"/>
    </xf>
    <xf numFmtId="0" fontId="4" fillId="33" borderId="10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2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62" applyNumberFormat="1" applyFont="1" applyFill="1" applyBorder="1" applyAlignment="1" applyProtection="1">
      <alignment wrapText="1"/>
      <protection hidden="1"/>
    </xf>
    <xf numFmtId="4" fontId="6" fillId="0" borderId="0" xfId="62" applyNumberFormat="1" applyFont="1">
      <alignment/>
      <protection/>
    </xf>
    <xf numFmtId="0" fontId="3" fillId="0" borderId="0" xfId="62" applyFont="1">
      <alignment/>
      <protection/>
    </xf>
    <xf numFmtId="4" fontId="2" fillId="0" borderId="0" xfId="62" applyNumberFormat="1">
      <alignment/>
      <protection/>
    </xf>
    <xf numFmtId="4" fontId="3" fillId="0" borderId="0" xfId="62" applyNumberFormat="1" applyFont="1">
      <alignment/>
      <protection/>
    </xf>
    <xf numFmtId="4" fontId="4" fillId="0" borderId="0" xfId="62" applyNumberFormat="1" applyFont="1">
      <alignment/>
      <protection/>
    </xf>
    <xf numFmtId="49" fontId="3" fillId="0" borderId="12" xfId="62" applyNumberFormat="1" applyFont="1" applyFill="1" applyBorder="1" applyAlignment="1" applyProtection="1" quotePrefix="1">
      <alignment/>
      <protection hidden="1"/>
    </xf>
    <xf numFmtId="0" fontId="3" fillId="0" borderId="12" xfId="62" applyNumberFormat="1" applyFont="1" applyFill="1" applyBorder="1" applyAlignment="1" applyProtection="1" quotePrefix="1">
      <alignment/>
      <protection hidden="1"/>
    </xf>
    <xf numFmtId="0" fontId="3" fillId="0" borderId="10" xfId="62" applyNumberFormat="1" applyFont="1" applyFill="1" applyBorder="1" applyAlignment="1" applyProtection="1" quotePrefix="1">
      <alignment/>
      <protection hidden="1"/>
    </xf>
    <xf numFmtId="0" fontId="4" fillId="0" borderId="0" xfId="62" applyFont="1" applyProtection="1">
      <alignment/>
      <protection hidden="1"/>
    </xf>
    <xf numFmtId="4" fontId="4" fillId="0" borderId="0" xfId="62" applyNumberFormat="1" applyFont="1" applyProtection="1">
      <alignment/>
      <protection hidden="1"/>
    </xf>
    <xf numFmtId="4" fontId="1" fillId="0" borderId="0" xfId="62" applyNumberFormat="1" applyFont="1">
      <alignment/>
      <protection/>
    </xf>
    <xf numFmtId="4" fontId="1" fillId="0" borderId="0" xfId="62" applyNumberFormat="1" applyFont="1" applyFill="1" applyAlignment="1" applyProtection="1">
      <alignment horizontal="center"/>
      <protection hidden="1"/>
    </xf>
    <xf numFmtId="0" fontId="4" fillId="0" borderId="0" xfId="62" applyFont="1">
      <alignment/>
      <protection/>
    </xf>
    <xf numFmtId="0" fontId="4" fillId="0" borderId="0" xfId="62" applyNumberFormat="1" applyFont="1" applyFill="1" applyAlignment="1" applyProtection="1">
      <alignment horizontal="left"/>
      <protection hidden="1"/>
    </xf>
    <xf numFmtId="4" fontId="4" fillId="0" borderId="0" xfId="62" applyNumberFormat="1" applyFont="1" applyFill="1" applyAlignment="1" applyProtection="1">
      <alignment horizontal="center"/>
      <protection hidden="1"/>
    </xf>
    <xf numFmtId="4" fontId="2" fillId="35" borderId="10" xfId="62" applyNumberFormat="1" applyFill="1" applyBorder="1" applyProtection="1">
      <alignment/>
      <protection hidden="1"/>
    </xf>
    <xf numFmtId="4" fontId="3" fillId="36" borderId="10" xfId="62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62" applyNumberFormat="1" applyFont="1" applyProtection="1">
      <alignment/>
      <protection hidden="1"/>
    </xf>
    <xf numFmtId="4" fontId="4" fillId="0" borderId="15" xfId="62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62" applyNumberFormat="1" applyFont="1" applyProtection="1">
      <alignment/>
      <protection hidden="1"/>
    </xf>
    <xf numFmtId="49" fontId="3" fillId="37" borderId="10" xfId="62" applyNumberFormat="1" applyFont="1" applyFill="1" applyBorder="1" applyAlignment="1" applyProtection="1">
      <alignment wrapText="1"/>
      <protection hidden="1"/>
    </xf>
    <xf numFmtId="0" fontId="4" fillId="36" borderId="12" xfId="62" applyNumberFormat="1" applyFont="1" applyFill="1" applyBorder="1" applyAlignment="1" applyProtection="1">
      <alignment/>
      <protection hidden="1"/>
    </xf>
    <xf numFmtId="0" fontId="3" fillId="38" borderId="12" xfId="62" applyNumberFormat="1" applyFont="1" applyFill="1" applyBorder="1" applyAlignment="1" applyProtection="1">
      <alignment/>
      <protection hidden="1"/>
    </xf>
    <xf numFmtId="0" fontId="4" fillId="38" borderId="12" xfId="62" applyNumberFormat="1" applyFont="1" applyFill="1" applyBorder="1" applyAlignment="1" applyProtection="1">
      <alignment/>
      <protection hidden="1"/>
    </xf>
    <xf numFmtId="0" fontId="3" fillId="38" borderId="16" xfId="62" applyNumberFormat="1" applyFont="1" applyFill="1" applyBorder="1" applyAlignment="1" applyProtection="1">
      <alignment/>
      <protection hidden="1"/>
    </xf>
    <xf numFmtId="0" fontId="4" fillId="39" borderId="12" xfId="62" applyNumberFormat="1" applyFont="1" applyFill="1" applyBorder="1" applyAlignment="1" applyProtection="1">
      <alignment/>
      <protection hidden="1"/>
    </xf>
    <xf numFmtId="0" fontId="3" fillId="40" borderId="12" xfId="62" applyNumberFormat="1" applyFont="1" applyFill="1" applyBorder="1" applyAlignment="1" applyProtection="1">
      <alignment/>
      <protection hidden="1"/>
    </xf>
    <xf numFmtId="0" fontId="4" fillId="41" borderId="12" xfId="62" applyNumberFormat="1" applyFont="1" applyFill="1" applyBorder="1" applyAlignment="1" applyProtection="1">
      <alignment/>
      <protection hidden="1"/>
    </xf>
    <xf numFmtId="4" fontId="6" fillId="0" borderId="0" xfId="62" applyNumberFormat="1" applyFont="1" applyProtection="1">
      <alignment/>
      <protection hidden="1"/>
    </xf>
    <xf numFmtId="0" fontId="4" fillId="0" borderId="17" xfId="52" applyNumberFormat="1" applyFont="1" applyFill="1" applyBorder="1" applyAlignment="1" applyProtection="1">
      <alignment horizontal="left" wrapText="1"/>
      <protection hidden="1"/>
    </xf>
    <xf numFmtId="1" fontId="4" fillId="38" borderId="10" xfId="62" applyNumberFormat="1" applyFont="1" applyFill="1" applyBorder="1" applyAlignment="1" applyProtection="1">
      <alignment horizontal="left" wrapText="1"/>
      <protection hidden="1"/>
    </xf>
    <xf numFmtId="49" fontId="3" fillId="0" borderId="12" xfId="62" applyNumberFormat="1" applyFont="1" applyFill="1" applyBorder="1" applyAlignment="1" applyProtection="1">
      <alignment wrapText="1"/>
      <protection hidden="1"/>
    </xf>
    <xf numFmtId="49" fontId="3" fillId="0" borderId="10" xfId="62" applyNumberFormat="1" applyFont="1" applyFill="1" applyBorder="1" applyAlignment="1" applyProtection="1">
      <alignment wrapText="1"/>
      <protection hidden="1"/>
    </xf>
    <xf numFmtId="49" fontId="4" fillId="38" borderId="10" xfId="62" applyNumberFormat="1" applyFont="1" applyFill="1" applyBorder="1" applyAlignment="1" applyProtection="1">
      <alignment wrapText="1"/>
      <protection hidden="1"/>
    </xf>
    <xf numFmtId="0" fontId="4" fillId="40" borderId="10" xfId="62" applyNumberFormat="1" applyFont="1" applyFill="1" applyBorder="1" applyAlignment="1" applyProtection="1">
      <alignment/>
      <protection hidden="1"/>
    </xf>
    <xf numFmtId="0" fontId="4" fillId="34" borderId="10" xfId="62" applyNumberFormat="1" applyFont="1" applyFill="1" applyBorder="1" applyAlignment="1" applyProtection="1">
      <alignment wrapText="1"/>
      <protection hidden="1"/>
    </xf>
    <xf numFmtId="0" fontId="4" fillId="36" borderId="10" xfId="62" applyNumberFormat="1" applyFont="1" applyFill="1" applyBorder="1" applyAlignment="1" applyProtection="1">
      <alignment horizontal="center"/>
      <protection hidden="1"/>
    </xf>
    <xf numFmtId="0" fontId="4" fillId="38" borderId="12" xfId="62" applyNumberFormat="1" applyFont="1" applyFill="1" applyBorder="1" applyAlignment="1" applyProtection="1">
      <alignment wrapText="1"/>
      <protection hidden="1"/>
    </xf>
    <xf numFmtId="1" fontId="4" fillId="39" borderId="10" xfId="62" applyNumberFormat="1" applyFont="1" applyFill="1" applyBorder="1" applyAlignment="1" applyProtection="1">
      <alignment horizontal="left"/>
      <protection hidden="1"/>
    </xf>
    <xf numFmtId="1" fontId="3" fillId="0" borderId="12" xfId="62" applyNumberFormat="1" applyFont="1" applyFill="1" applyBorder="1" applyAlignment="1" applyProtection="1">
      <alignment horizontal="left" wrapText="1"/>
      <protection hidden="1"/>
    </xf>
    <xf numFmtId="0" fontId="3" fillId="0" borderId="15" xfId="62" applyNumberFormat="1" applyFont="1" applyFill="1" applyBorder="1" applyAlignment="1" applyProtection="1" quotePrefix="1">
      <alignment/>
      <protection hidden="1"/>
    </xf>
    <xf numFmtId="0" fontId="4" fillId="39" borderId="10" xfId="62" applyNumberFormat="1" applyFont="1" applyFill="1" applyBorder="1" applyAlignment="1" applyProtection="1">
      <alignment/>
      <protection hidden="1"/>
    </xf>
    <xf numFmtId="0" fontId="4" fillId="39" borderId="12" xfId="62" applyNumberFormat="1" applyFont="1" applyFill="1" applyBorder="1" applyAlignment="1" applyProtection="1">
      <alignment wrapText="1"/>
      <protection hidden="1"/>
    </xf>
    <xf numFmtId="0" fontId="4" fillId="39" borderId="16" xfId="62" applyNumberFormat="1" applyFont="1" applyFill="1" applyBorder="1" applyAlignment="1" applyProtection="1">
      <alignment/>
      <protection hidden="1"/>
    </xf>
    <xf numFmtId="49" fontId="3" fillId="0" borderId="18" xfId="62" applyNumberFormat="1" applyFont="1" applyFill="1" applyBorder="1" applyAlignment="1" applyProtection="1">
      <alignment wrapText="1"/>
      <protection hidden="1"/>
    </xf>
    <xf numFmtId="2" fontId="4" fillId="38" borderId="10" xfId="62" applyNumberFormat="1" applyFont="1" applyFill="1" applyBorder="1" applyAlignment="1" applyProtection="1">
      <alignment horizontal="left" wrapText="1"/>
      <protection hidden="1"/>
    </xf>
    <xf numFmtId="0" fontId="3" fillId="0" borderId="19" xfId="62" applyNumberFormat="1" applyFont="1" applyFill="1" applyBorder="1" applyAlignment="1" applyProtection="1">
      <alignment horizontal="left" wrapText="1"/>
      <protection hidden="1"/>
    </xf>
    <xf numFmtId="1" fontId="3" fillId="37" borderId="10" xfId="62" applyNumberFormat="1" applyFont="1" applyFill="1" applyBorder="1" applyAlignment="1" applyProtection="1">
      <alignment horizontal="left"/>
      <protection hidden="1"/>
    </xf>
    <xf numFmtId="0" fontId="4" fillId="42" borderId="10" xfId="62" applyNumberFormat="1" applyFont="1" applyFill="1" applyBorder="1" applyAlignment="1" applyProtection="1">
      <alignment wrapText="1"/>
      <protection hidden="1"/>
    </xf>
    <xf numFmtId="4" fontId="9" fillId="0" borderId="20" xfId="62" applyNumberFormat="1" applyFont="1" applyBorder="1">
      <alignment/>
      <protection/>
    </xf>
    <xf numFmtId="4" fontId="9" fillId="0" borderId="10" xfId="62" applyNumberFormat="1" applyFont="1" applyBorder="1">
      <alignment/>
      <protection/>
    </xf>
    <xf numFmtId="0" fontId="10" fillId="0" borderId="0" xfId="62" applyFont="1">
      <alignment/>
      <protection/>
    </xf>
    <xf numFmtId="4" fontId="9" fillId="36" borderId="20" xfId="62" applyNumberFormat="1" applyFont="1" applyFill="1" applyBorder="1">
      <alignment/>
      <protection/>
    </xf>
    <xf numFmtId="4" fontId="9" fillId="36" borderId="10" xfId="62" applyNumberFormat="1" applyFont="1" applyFill="1" applyBorder="1">
      <alignment/>
      <protection/>
    </xf>
    <xf numFmtId="4" fontId="9" fillId="38" borderId="20" xfId="62" applyNumberFormat="1" applyFont="1" applyFill="1" applyBorder="1">
      <alignment/>
      <protection/>
    </xf>
    <xf numFmtId="4" fontId="9" fillId="38" borderId="10" xfId="62" applyNumberFormat="1" applyFont="1" applyFill="1" applyBorder="1">
      <alignment/>
      <protection/>
    </xf>
    <xf numFmtId="4" fontId="8" fillId="38" borderId="10" xfId="62" applyNumberFormat="1" applyFont="1" applyFill="1" applyBorder="1" applyAlignment="1" applyProtection="1">
      <alignment/>
      <protection hidden="1"/>
    </xf>
    <xf numFmtId="0" fontId="11" fillId="0" borderId="0" xfId="62" applyFont="1">
      <alignment/>
      <protection/>
    </xf>
    <xf numFmtId="4" fontId="8" fillId="0" borderId="10" xfId="62" applyNumberFormat="1" applyFont="1" applyFill="1" applyBorder="1" applyAlignment="1" applyProtection="1">
      <alignment/>
      <protection hidden="1"/>
    </xf>
    <xf numFmtId="4" fontId="8" fillId="38" borderId="20" xfId="62" applyNumberFormat="1" applyFont="1" applyFill="1" applyBorder="1" applyAlignment="1" applyProtection="1">
      <alignment/>
      <protection hidden="1"/>
    </xf>
    <xf numFmtId="4" fontId="8" fillId="38" borderId="21" xfId="62" applyNumberFormat="1" applyFont="1" applyFill="1" applyBorder="1" applyAlignment="1" applyProtection="1">
      <alignment/>
      <protection hidden="1"/>
    </xf>
    <xf numFmtId="4" fontId="3" fillId="0" borderId="10" xfId="62" applyNumberFormat="1" applyFont="1" applyFill="1" applyBorder="1" applyAlignment="1" applyProtection="1">
      <alignment/>
      <protection hidden="1"/>
    </xf>
    <xf numFmtId="4" fontId="4" fillId="34" borderId="15" xfId="62" applyNumberFormat="1" applyFont="1" applyFill="1" applyBorder="1" applyAlignment="1" applyProtection="1">
      <alignment/>
      <protection hidden="1"/>
    </xf>
    <xf numFmtId="4" fontId="3" fillId="0" borderId="22" xfId="62" applyNumberFormat="1" applyFont="1" applyFill="1" applyBorder="1" applyAlignment="1" applyProtection="1">
      <alignment/>
      <protection hidden="1"/>
    </xf>
    <xf numFmtId="4" fontId="3" fillId="37" borderId="10" xfId="62" applyNumberFormat="1" applyFont="1" applyFill="1" applyBorder="1" applyAlignment="1" applyProtection="1">
      <alignment/>
      <protection hidden="1"/>
    </xf>
    <xf numFmtId="4" fontId="3" fillId="0" borderId="15" xfId="62" applyNumberFormat="1" applyFont="1" applyFill="1" applyBorder="1" applyAlignment="1" applyProtection="1">
      <alignment/>
      <protection hidden="1"/>
    </xf>
    <xf numFmtId="4" fontId="4" fillId="36" borderId="15" xfId="62" applyNumberFormat="1" applyFont="1" applyFill="1" applyBorder="1" applyAlignment="1" applyProtection="1">
      <alignment/>
      <protection hidden="1"/>
    </xf>
    <xf numFmtId="4" fontId="4" fillId="39" borderId="15" xfId="62" applyNumberFormat="1" applyFont="1" applyFill="1" applyBorder="1" applyAlignment="1" applyProtection="1">
      <alignment/>
      <protection hidden="1"/>
    </xf>
    <xf numFmtId="4" fontId="4" fillId="36" borderId="10" xfId="62" applyNumberFormat="1" applyFont="1" applyFill="1" applyBorder="1" applyAlignment="1" applyProtection="1">
      <alignment/>
      <protection hidden="1"/>
    </xf>
    <xf numFmtId="4" fontId="3" fillId="40" borderId="15" xfId="62" applyNumberFormat="1" applyFont="1" applyFill="1" applyBorder="1" applyAlignment="1" applyProtection="1">
      <alignment/>
      <protection hidden="1"/>
    </xf>
    <xf numFmtId="4" fontId="3" fillId="40" borderId="10" xfId="62" applyNumberFormat="1" applyFont="1" applyFill="1" applyBorder="1" applyAlignment="1" applyProtection="1">
      <alignment/>
      <protection hidden="1"/>
    </xf>
    <xf numFmtId="4" fontId="3" fillId="40" borderId="23" xfId="62" applyNumberFormat="1" applyFont="1" applyFill="1" applyBorder="1" applyAlignment="1" applyProtection="1">
      <alignment/>
      <protection hidden="1"/>
    </xf>
    <xf numFmtId="4" fontId="3" fillId="38" borderId="15" xfId="62" applyNumberFormat="1" applyFont="1" applyFill="1" applyBorder="1" applyAlignment="1" applyProtection="1">
      <alignment/>
      <protection hidden="1"/>
    </xf>
    <xf numFmtId="4" fontId="3" fillId="38" borderId="10" xfId="62" applyNumberFormat="1" applyFont="1" applyFill="1" applyBorder="1" applyAlignment="1" applyProtection="1">
      <alignment/>
      <protection hidden="1"/>
    </xf>
    <xf numFmtId="4" fontId="3" fillId="38" borderId="23" xfId="62" applyNumberFormat="1" applyFont="1" applyFill="1" applyBorder="1" applyAlignment="1" applyProtection="1">
      <alignment/>
      <protection hidden="1"/>
    </xf>
    <xf numFmtId="4" fontId="4" fillId="41" borderId="15" xfId="62" applyNumberFormat="1" applyFont="1" applyFill="1" applyBorder="1" applyAlignment="1" applyProtection="1">
      <alignment/>
      <protection hidden="1"/>
    </xf>
    <xf numFmtId="4" fontId="4" fillId="0" borderId="15" xfId="62" applyNumberFormat="1" applyFont="1" applyFill="1" applyBorder="1" applyAlignment="1" applyProtection="1">
      <alignment/>
      <protection hidden="1"/>
    </xf>
    <xf numFmtId="4" fontId="4" fillId="42" borderId="10" xfId="62" applyNumberFormat="1" applyFont="1" applyFill="1" applyBorder="1" applyAlignment="1" applyProtection="1">
      <alignment/>
      <protection hidden="1"/>
    </xf>
    <xf numFmtId="4" fontId="4" fillId="39" borderId="10" xfId="62" applyNumberFormat="1" applyFont="1" applyFill="1" applyBorder="1" applyAlignment="1" applyProtection="1">
      <alignment/>
      <protection hidden="1"/>
    </xf>
    <xf numFmtId="4" fontId="4" fillId="38" borderId="10" xfId="62" applyNumberFormat="1" applyFont="1" applyFill="1" applyBorder="1" applyAlignment="1" applyProtection="1">
      <alignment/>
      <protection hidden="1"/>
    </xf>
    <xf numFmtId="4" fontId="4" fillId="38" borderId="15" xfId="62" applyNumberFormat="1" applyFont="1" applyFill="1" applyBorder="1" applyAlignment="1" applyProtection="1">
      <alignment/>
      <protection hidden="1"/>
    </xf>
    <xf numFmtId="4" fontId="4" fillId="40" borderId="10" xfId="62" applyNumberFormat="1" applyFont="1" applyFill="1" applyBorder="1" applyAlignment="1" applyProtection="1">
      <alignment/>
      <protection hidden="1"/>
    </xf>
    <xf numFmtId="4" fontId="6" fillId="0" borderId="10" xfId="62" applyNumberFormat="1" applyFont="1" applyFill="1" applyBorder="1">
      <alignment/>
      <protection/>
    </xf>
    <xf numFmtId="4" fontId="4" fillId="34" borderId="10" xfId="62" applyNumberFormat="1" applyFont="1" applyFill="1" applyBorder="1" applyAlignment="1" applyProtection="1">
      <alignment/>
      <protection hidden="1"/>
    </xf>
    <xf numFmtId="4" fontId="3" fillId="37" borderId="20" xfId="62" applyNumberFormat="1" applyFont="1" applyFill="1" applyBorder="1" applyAlignment="1" applyProtection="1">
      <alignment/>
      <protection hidden="1"/>
    </xf>
    <xf numFmtId="4" fontId="6" fillId="0" borderId="10" xfId="62" applyNumberFormat="1" applyFont="1" applyBorder="1">
      <alignment/>
      <protection/>
    </xf>
    <xf numFmtId="4" fontId="3" fillId="37" borderId="24" xfId="62" applyNumberFormat="1" applyFont="1" applyFill="1" applyBorder="1" applyAlignment="1" applyProtection="1">
      <alignment/>
      <protection hidden="1"/>
    </xf>
    <xf numFmtId="4" fontId="4" fillId="38" borderId="20" xfId="62" applyNumberFormat="1" applyFont="1" applyFill="1" applyBorder="1" applyAlignment="1" applyProtection="1">
      <alignment/>
      <protection hidden="1"/>
    </xf>
    <xf numFmtId="4" fontId="6" fillId="38" borderId="10" xfId="62" applyNumberFormat="1" applyFont="1" applyFill="1" applyBorder="1">
      <alignment/>
      <protection/>
    </xf>
    <xf numFmtId="4" fontId="4" fillId="38" borderId="24" xfId="62" applyNumberFormat="1" applyFont="1" applyFill="1" applyBorder="1" applyAlignment="1" applyProtection="1">
      <alignment/>
      <protection hidden="1"/>
    </xf>
    <xf numFmtId="4" fontId="4" fillId="38" borderId="25" xfId="62" applyNumberFormat="1" applyFont="1" applyFill="1" applyBorder="1" applyAlignment="1" applyProtection="1">
      <alignment/>
      <protection hidden="1"/>
    </xf>
    <xf numFmtId="4" fontId="4" fillId="0" borderId="24" xfId="62" applyNumberFormat="1" applyFont="1" applyFill="1" applyBorder="1" applyAlignment="1" applyProtection="1">
      <alignment/>
      <protection hidden="1"/>
    </xf>
    <xf numFmtId="0" fontId="1" fillId="0" borderId="0" xfId="62" applyFont="1">
      <alignment/>
      <protection/>
    </xf>
    <xf numFmtId="4" fontId="2" fillId="0" borderId="0" xfId="62" applyNumberFormat="1" applyFont="1">
      <alignment/>
      <protection/>
    </xf>
    <xf numFmtId="0" fontId="2" fillId="0" borderId="0" xfId="62" applyFont="1">
      <alignment/>
      <protection/>
    </xf>
    <xf numFmtId="4" fontId="9" fillId="0" borderId="20" xfId="62" applyNumberFormat="1" applyFont="1" applyFill="1" applyBorder="1">
      <alignment/>
      <protection/>
    </xf>
    <xf numFmtId="4" fontId="9" fillId="0" borderId="10" xfId="62" applyNumberFormat="1" applyFont="1" applyFill="1" applyBorder="1">
      <alignment/>
      <protection/>
    </xf>
    <xf numFmtId="0" fontId="10" fillId="0" borderId="0" xfId="62" applyFont="1" applyFill="1">
      <alignment/>
      <protection/>
    </xf>
    <xf numFmtId="0" fontId="2" fillId="0" borderId="0" xfId="62" applyFill="1">
      <alignment/>
      <protection/>
    </xf>
    <xf numFmtId="49" fontId="3" fillId="0" borderId="10" xfId="62" applyNumberFormat="1" applyFont="1" applyFill="1" applyBorder="1" applyAlignment="1" applyProtection="1">
      <alignment/>
      <protection hidden="1"/>
    </xf>
    <xf numFmtId="4" fontId="4" fillId="41" borderId="10" xfId="62" applyNumberFormat="1" applyFont="1" applyFill="1" applyBorder="1" applyAlignment="1" applyProtection="1">
      <alignment/>
      <protection hidden="1"/>
    </xf>
    <xf numFmtId="4" fontId="4" fillId="0" borderId="10" xfId="62" applyNumberFormat="1" applyFont="1" applyFill="1" applyBorder="1" applyAlignment="1" applyProtection="1">
      <alignment/>
      <protection hidden="1"/>
    </xf>
    <xf numFmtId="0" fontId="3" fillId="43" borderId="12" xfId="62" applyNumberFormat="1" applyFont="1" applyFill="1" applyBorder="1" applyAlignment="1" applyProtection="1">
      <alignment/>
      <protection hidden="1"/>
    </xf>
    <xf numFmtId="4" fontId="3" fillId="43" borderId="15" xfId="62" applyNumberFormat="1" applyFont="1" applyFill="1" applyBorder="1" applyAlignment="1" applyProtection="1">
      <alignment/>
      <protection hidden="1"/>
    </xf>
    <xf numFmtId="4" fontId="3" fillId="43" borderId="10" xfId="62" applyNumberFormat="1" applyFont="1" applyFill="1" applyBorder="1" applyAlignment="1" applyProtection="1">
      <alignment/>
      <protection hidden="1"/>
    </xf>
    <xf numFmtId="4" fontId="9" fillId="43" borderId="20" xfId="62" applyNumberFormat="1" applyFont="1" applyFill="1" applyBorder="1">
      <alignment/>
      <protection/>
    </xf>
    <xf numFmtId="4" fontId="9" fillId="43" borderId="10" xfId="62" applyNumberFormat="1" applyFont="1" applyFill="1" applyBorder="1">
      <alignment/>
      <protection/>
    </xf>
    <xf numFmtId="0" fontId="10" fillId="43" borderId="0" xfId="62" applyFont="1" applyFill="1">
      <alignment/>
      <protection/>
    </xf>
    <xf numFmtId="0" fontId="2" fillId="43" borderId="0" xfId="62" applyFill="1">
      <alignment/>
      <protection/>
    </xf>
    <xf numFmtId="4" fontId="13" fillId="44" borderId="0" xfId="62" applyNumberFormat="1" applyFont="1" applyFill="1" applyBorder="1">
      <alignment/>
      <protection/>
    </xf>
    <xf numFmtId="0" fontId="13" fillId="44" borderId="0" xfId="62" applyFont="1" applyFill="1" applyBorder="1">
      <alignment/>
      <protection/>
    </xf>
    <xf numFmtId="0" fontId="2" fillId="44" borderId="0" xfId="62" applyFont="1" applyFill="1" applyBorder="1">
      <alignment/>
      <protection/>
    </xf>
    <xf numFmtId="4" fontId="2" fillId="44" borderId="0" xfId="62" applyNumberFormat="1" applyFont="1" applyFill="1" applyBorder="1">
      <alignment/>
      <protection/>
    </xf>
    <xf numFmtId="4" fontId="3" fillId="44" borderId="0" xfId="62" applyNumberFormat="1" applyFont="1" applyFill="1" applyBorder="1">
      <alignment/>
      <protection/>
    </xf>
    <xf numFmtId="0" fontId="4" fillId="0" borderId="0" xfId="62" applyNumberFormat="1" applyFont="1" applyFill="1" applyAlignment="1" applyProtection="1">
      <alignment/>
      <protection hidden="1"/>
    </xf>
    <xf numFmtId="4" fontId="4" fillId="0" borderId="22" xfId="62" applyNumberFormat="1" applyFont="1" applyFill="1" applyBorder="1" applyAlignment="1" applyProtection="1">
      <alignment/>
      <protection hidden="1"/>
    </xf>
    <xf numFmtId="4" fontId="4" fillId="40" borderId="15" xfId="62" applyNumberFormat="1" applyFont="1" applyFill="1" applyBorder="1" applyAlignment="1" applyProtection="1">
      <alignment/>
      <protection hidden="1"/>
    </xf>
    <xf numFmtId="4" fontId="4" fillId="43" borderId="15" xfId="62" applyNumberFormat="1" applyFont="1" applyFill="1" applyBorder="1" applyAlignment="1" applyProtection="1">
      <alignment/>
      <protection hidden="1"/>
    </xf>
    <xf numFmtId="4" fontId="4" fillId="37" borderId="10" xfId="62" applyNumberFormat="1" applyFont="1" applyFill="1" applyBorder="1" applyAlignment="1" applyProtection="1">
      <alignment/>
      <protection hidden="1"/>
    </xf>
    <xf numFmtId="4" fontId="4" fillId="37" borderId="20" xfId="62" applyNumberFormat="1" applyFont="1" applyFill="1" applyBorder="1" applyAlignment="1" applyProtection="1">
      <alignment/>
      <protection hidden="1"/>
    </xf>
    <xf numFmtId="4" fontId="4" fillId="37" borderId="24" xfId="62" applyNumberFormat="1" applyFont="1" applyFill="1" applyBorder="1" applyAlignment="1" applyProtection="1">
      <alignment/>
      <protection hidden="1"/>
    </xf>
    <xf numFmtId="4" fontId="12" fillId="44" borderId="0" xfId="62" applyNumberFormat="1" applyFont="1" applyFill="1" applyBorder="1">
      <alignment/>
      <protection/>
    </xf>
    <xf numFmtId="0" fontId="4" fillId="45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44" borderId="10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2" applyNumberFormat="1" applyFont="1" applyFill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4" fillId="0" borderId="12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62" applyNumberFormat="1" applyFont="1" applyFill="1" applyBorder="1" applyAlignment="1" applyProtection="1">
      <alignment horizontal="center" vertical="center" wrapText="1"/>
      <protection hidden="1"/>
    </xf>
    <xf numFmtId="4" fontId="13" fillId="44" borderId="26" xfId="62" applyNumberFormat="1" applyFont="1" applyFill="1" applyBorder="1" applyAlignment="1">
      <alignment wrapText="1"/>
      <protection/>
    </xf>
    <xf numFmtId="0" fontId="0" fillId="0" borderId="26" xfId="0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_tmp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107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1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138" t="s">
        <v>3</v>
      </c>
      <c r="E5" s="138" t="s">
        <v>4</v>
      </c>
      <c r="F5" s="137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50280700</v>
      </c>
      <c r="C6" s="77">
        <f aca="true" t="shared" si="0" ref="C6:R6">C11+C16+C17+C18+C21+C22+C23+C25+C26+C27+C28+C31+C34+C37+C44</f>
        <v>9059202</v>
      </c>
      <c r="D6" s="77">
        <f>D11+D16+D17+D18+D19+D20+D23+D37</f>
        <v>3150909</v>
      </c>
      <c r="E6" s="77">
        <f t="shared" si="0"/>
        <v>2767363</v>
      </c>
      <c r="F6" s="77">
        <f t="shared" si="0"/>
        <v>3104421</v>
      </c>
      <c r="G6" s="77">
        <f t="shared" si="0"/>
        <v>10635643</v>
      </c>
      <c r="H6" s="77">
        <f>H11+H16+H17+H18+H21+H22+H23+H25+H26+H27+H28+H31+H34+H37+H44</f>
        <v>4576381</v>
      </c>
      <c r="I6" s="77">
        <f t="shared" si="0"/>
        <v>2839581</v>
      </c>
      <c r="J6" s="77">
        <f t="shared" si="0"/>
        <v>3219681</v>
      </c>
      <c r="K6" s="77">
        <f t="shared" si="0"/>
        <v>11179543</v>
      </c>
      <c r="L6" s="77">
        <f t="shared" si="0"/>
        <v>3709281</v>
      </c>
      <c r="M6" s="77">
        <f t="shared" si="0"/>
        <v>3439781</v>
      </c>
      <c r="N6" s="77">
        <f>N11+N16+N17+N18+N21+N22+N23+N25+N26+N27+N28+N31+N34+N37+N44</f>
        <v>4030481</v>
      </c>
      <c r="O6" s="77">
        <f t="shared" si="0"/>
        <v>19442821</v>
      </c>
      <c r="P6" s="77">
        <f t="shared" si="0"/>
        <v>5066781</v>
      </c>
      <c r="Q6" s="77">
        <f t="shared" si="0"/>
        <v>6767781</v>
      </c>
      <c r="R6" s="98">
        <f t="shared" si="0"/>
        <v>7608259</v>
      </c>
      <c r="S6" s="64">
        <f aca="true" t="shared" si="1" ref="S6:S22">D6+E6+F6+H6+I6+J6+L6</f>
        <v>23367617</v>
      </c>
      <c r="T6" s="65">
        <f aca="true" t="shared" si="2" ref="T6:T22">B6-Q6-R6</f>
        <v>35904660</v>
      </c>
      <c r="U6" s="66"/>
    </row>
    <row r="7" spans="1:21" ht="15" customHeight="1">
      <c r="A7" s="6" t="s">
        <v>19</v>
      </c>
      <c r="B7" s="76">
        <f>C7+G7+K7+O7</f>
        <v>18712900</v>
      </c>
      <c r="C7" s="76">
        <f>SUM(D7:F7)</f>
        <v>3922700</v>
      </c>
      <c r="D7" s="130">
        <f>1100000-240000</f>
        <v>860000</v>
      </c>
      <c r="E7" s="78">
        <f>1100000+200000</f>
        <v>1300000</v>
      </c>
      <c r="F7" s="78">
        <f>1500000+262700</f>
        <v>1762700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5490200</v>
      </c>
      <c r="P7" s="78">
        <v>1500000</v>
      </c>
      <c r="Q7" s="78">
        <v>1500000</v>
      </c>
      <c r="R7" s="76">
        <f>2003000+240000+709900-200000-262700</f>
        <v>2490200</v>
      </c>
      <c r="S7" s="64">
        <f t="shared" si="1"/>
        <v>10122700</v>
      </c>
      <c r="T7" s="65">
        <f t="shared" si="2"/>
        <v>14722700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0</v>
      </c>
      <c r="D8" s="91">
        <v>0</v>
      </c>
      <c r="E8" s="80">
        <v>0</v>
      </c>
      <c r="F8" s="80">
        <f>500-500</f>
        <v>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61600</v>
      </c>
      <c r="P8" s="80">
        <f>17400-17400</f>
        <v>0</v>
      </c>
      <c r="Q8" s="80">
        <v>0</v>
      </c>
      <c r="R8" s="76">
        <f>61100+500</f>
        <v>61600</v>
      </c>
      <c r="S8" s="64">
        <f t="shared" si="1"/>
        <v>500</v>
      </c>
      <c r="T8" s="65">
        <f t="shared" si="2"/>
        <v>1000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33300</v>
      </c>
      <c r="D9" s="91">
        <v>1800</v>
      </c>
      <c r="E9" s="80">
        <v>800</v>
      </c>
      <c r="F9" s="80">
        <f>100000-69300</f>
        <v>30700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312300</v>
      </c>
      <c r="P9" s="80">
        <v>0</v>
      </c>
      <c r="Q9" s="80">
        <v>0</v>
      </c>
      <c r="R9" s="76">
        <f>170000+75600-1800-800+69300</f>
        <v>312300</v>
      </c>
      <c r="S9" s="64">
        <f t="shared" si="1"/>
        <v>203300</v>
      </c>
      <c r="T9" s="65">
        <f t="shared" si="2"/>
        <v>383300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14100</v>
      </c>
      <c r="D10" s="91">
        <v>6700</v>
      </c>
      <c r="E10" s="80">
        <v>2600</v>
      </c>
      <c r="F10" s="80">
        <f>15000-10200</f>
        <v>4800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f>N10</f>
        <v>15000</v>
      </c>
      <c r="L10" s="80">
        <v>0</v>
      </c>
      <c r="M10" s="80">
        <v>0</v>
      </c>
      <c r="N10" s="80">
        <v>15000</v>
      </c>
      <c r="O10" s="79">
        <f>P10+Q10+R10</f>
        <v>74300</v>
      </c>
      <c r="P10" s="80">
        <v>0</v>
      </c>
      <c r="Q10" s="80">
        <v>0</v>
      </c>
      <c r="R10" s="76">
        <f>73400-6700-2600+10200</f>
        <v>74300</v>
      </c>
      <c r="S10" s="64">
        <f t="shared" si="1"/>
        <v>29100</v>
      </c>
      <c r="T10" s="65">
        <f t="shared" si="2"/>
        <v>44100</v>
      </c>
      <c r="U10" s="66"/>
    </row>
    <row r="11" spans="1:21" ht="12.75" customHeight="1">
      <c r="A11" s="36" t="s">
        <v>22</v>
      </c>
      <c r="B11" s="81">
        <f>SUM(B7:B10)</f>
        <v>19589500</v>
      </c>
      <c r="C11" s="81">
        <f aca="true" t="shared" si="3" ref="C11:R11">SUM(C7:C10)</f>
        <v>3970100</v>
      </c>
      <c r="D11" s="81">
        <f>SUM(D7:D10)</f>
        <v>868500</v>
      </c>
      <c r="E11" s="81">
        <f t="shared" si="3"/>
        <v>1303400</v>
      </c>
      <c r="F11" s="81">
        <f>SUM(F7:F10)</f>
        <v>1798200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1695500</v>
      </c>
      <c r="O11" s="83">
        <f t="shared" si="3"/>
        <v>5938400</v>
      </c>
      <c r="P11" s="81">
        <f t="shared" si="3"/>
        <v>1500000</v>
      </c>
      <c r="Q11" s="81">
        <f t="shared" si="3"/>
        <v>1500000</v>
      </c>
      <c r="R11" s="83">
        <f t="shared" si="3"/>
        <v>2938400</v>
      </c>
      <c r="S11" s="67">
        <f t="shared" si="1"/>
        <v>10355600</v>
      </c>
      <c r="T11" s="68">
        <f t="shared" si="2"/>
        <v>15151100</v>
      </c>
      <c r="U11" s="66"/>
    </row>
    <row r="12" spans="1:21" ht="12.75" customHeight="1">
      <c r="A12" s="7" t="s">
        <v>78</v>
      </c>
      <c r="B12" s="80">
        <f>C12+G12+K12+O12</f>
        <v>2983700</v>
      </c>
      <c r="C12" s="80">
        <f>D12+E12+F12</f>
        <v>930700</v>
      </c>
      <c r="D12" s="91">
        <f>250000+110300</f>
        <v>360300</v>
      </c>
      <c r="E12" s="80">
        <f>100000+190000</f>
        <v>290000</v>
      </c>
      <c r="F12" s="80">
        <f>250000+30400</f>
        <v>280400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353000</v>
      </c>
      <c r="P12" s="80">
        <v>250000</v>
      </c>
      <c r="Q12" s="80">
        <f>250000-190000</f>
        <v>60000</v>
      </c>
      <c r="R12" s="76">
        <f>150000+33700-110300-30400</f>
        <v>43000</v>
      </c>
      <c r="S12" s="64">
        <f t="shared" si="1"/>
        <v>2030700</v>
      </c>
      <c r="T12" s="65">
        <f t="shared" si="2"/>
        <v>2880700</v>
      </c>
      <c r="U12" s="66"/>
    </row>
    <row r="13" spans="1:21" ht="12.75" customHeight="1">
      <c r="A13" s="7" t="s">
        <v>79</v>
      </c>
      <c r="B13" s="80">
        <f>C13+G13+K13+O13</f>
        <v>29600</v>
      </c>
      <c r="C13" s="80">
        <f>D13+E13+F13</f>
        <v>6300</v>
      </c>
      <c r="D13" s="91">
        <f>1800+800</f>
        <v>2600</v>
      </c>
      <c r="E13" s="80">
        <f>1800-100</f>
        <v>1700</v>
      </c>
      <c r="F13" s="80">
        <f>1800+200</f>
        <v>2000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6900</v>
      </c>
      <c r="P13" s="80">
        <v>2000</v>
      </c>
      <c r="Q13" s="80">
        <v>2000</v>
      </c>
      <c r="R13" s="76">
        <f>3800-800+100-200</f>
        <v>2900</v>
      </c>
      <c r="S13" s="64">
        <f t="shared" si="1"/>
        <v>13700</v>
      </c>
      <c r="T13" s="65">
        <f t="shared" si="2"/>
        <v>24700</v>
      </c>
      <c r="U13" s="66"/>
    </row>
    <row r="14" spans="1:21" ht="12.75" customHeight="1">
      <c r="A14" s="7" t="s">
        <v>80</v>
      </c>
      <c r="B14" s="80">
        <f>C14+G14+K14+O14</f>
        <v>3568900</v>
      </c>
      <c r="C14" s="80">
        <f>D14+E14+F14</f>
        <v>1386000</v>
      </c>
      <c r="D14" s="91">
        <f>150000+392000</f>
        <v>542000</v>
      </c>
      <c r="E14" s="80">
        <f>150000+286000</f>
        <v>436000</v>
      </c>
      <c r="F14" s="80">
        <f>450000-42000</f>
        <v>408000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264000</v>
      </c>
      <c r="P14" s="80">
        <f>300000-286000</f>
        <v>14000</v>
      </c>
      <c r="Q14" s="80">
        <f>300000-92000</f>
        <v>208000</v>
      </c>
      <c r="R14" s="76">
        <f>300000-300000+42000</f>
        <v>42000</v>
      </c>
      <c r="S14" s="64">
        <f t="shared" si="1"/>
        <v>2586000</v>
      </c>
      <c r="T14" s="65">
        <f t="shared" si="2"/>
        <v>3318900</v>
      </c>
      <c r="U14" s="66"/>
    </row>
    <row r="15" spans="1:21" ht="12.75" customHeight="1">
      <c r="A15" s="7" t="s">
        <v>81</v>
      </c>
      <c r="B15" s="80">
        <f>C15+G15+K15+O15</f>
        <v>0</v>
      </c>
      <c r="C15" s="80">
        <f>D15+E15+F15</f>
        <v>0</v>
      </c>
      <c r="D15" s="91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2323000</v>
      </c>
      <c r="D16" s="82">
        <f>D15+D14+D13+D12</f>
        <v>904900</v>
      </c>
      <c r="E16" s="82">
        <f t="shared" si="4"/>
        <v>727700</v>
      </c>
      <c r="F16" s="82">
        <f>F15+F14+F13+F12</f>
        <v>690400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623900</v>
      </c>
      <c r="P16" s="82">
        <f t="shared" si="4"/>
        <v>266000</v>
      </c>
      <c r="Q16" s="82">
        <f t="shared" si="4"/>
        <v>270000</v>
      </c>
      <c r="R16" s="93">
        <f t="shared" si="4"/>
        <v>87900</v>
      </c>
      <c r="S16" s="67">
        <f t="shared" si="1"/>
        <v>4630400</v>
      </c>
      <c r="T16" s="68">
        <f t="shared" si="2"/>
        <v>6224300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67700</v>
      </c>
      <c r="D17" s="131">
        <v>67200</v>
      </c>
      <c r="E17" s="84">
        <v>0</v>
      </c>
      <c r="F17" s="84">
        <v>500</v>
      </c>
      <c r="G17" s="85">
        <f>H17+I17+J17</f>
        <v>1782800</v>
      </c>
      <c r="H17" s="84">
        <f>1850000-67200</f>
        <v>1782800</v>
      </c>
      <c r="I17" s="84">
        <v>0</v>
      </c>
      <c r="J17" s="85">
        <v>0</v>
      </c>
      <c r="K17" s="86">
        <f>L17+M17+N17</f>
        <v>899500</v>
      </c>
      <c r="L17" s="84">
        <f>900000-500</f>
        <v>899500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223000</v>
      </c>
      <c r="D18" s="95">
        <f>20000+71800</f>
        <v>91800</v>
      </c>
      <c r="E18" s="87">
        <f>10000+37400</f>
        <v>47400</v>
      </c>
      <c r="F18" s="87">
        <f>10000+73800</f>
        <v>83800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3327000</v>
      </c>
      <c r="P18" s="87">
        <v>500000</v>
      </c>
      <c r="Q18" s="87">
        <v>1500000</v>
      </c>
      <c r="R18" s="88">
        <f>1510000-71800-37400-73800</f>
        <v>1327000</v>
      </c>
      <c r="S18" s="69">
        <f t="shared" si="1"/>
        <v>373000</v>
      </c>
      <c r="T18" s="70">
        <f t="shared" si="2"/>
        <v>1373000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1510000</v>
      </c>
      <c r="D19" s="132">
        <f>400000+520300</f>
        <v>920300</v>
      </c>
      <c r="E19" s="118">
        <f>1100000-520300-121700</f>
        <v>458000</v>
      </c>
      <c r="F19" s="118">
        <f>900000-768300</f>
        <v>131700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1690000</v>
      </c>
      <c r="P19" s="118">
        <v>300000</v>
      </c>
      <c r="Q19" s="118">
        <v>400000</v>
      </c>
      <c r="R19" s="119">
        <f>100000+121700+768300</f>
        <v>990000</v>
      </c>
      <c r="S19" s="120">
        <f t="shared" si="1"/>
        <v>3130000</v>
      </c>
      <c r="T19" s="121">
        <f t="shared" si="2"/>
        <v>3810000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702100</v>
      </c>
      <c r="D20" s="91">
        <f>200000+60700</f>
        <v>260700</v>
      </c>
      <c r="E20" s="80">
        <f>100000+89700</f>
        <v>189700</v>
      </c>
      <c r="F20" s="80">
        <f>100000+151700</f>
        <v>251700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5597900</v>
      </c>
      <c r="P20" s="80">
        <f>2400000</f>
        <v>2400000</v>
      </c>
      <c r="Q20" s="80">
        <v>3000000</v>
      </c>
      <c r="R20" s="76">
        <f>500000-60700-89700-151700</f>
        <v>197900</v>
      </c>
      <c r="S20" s="64">
        <f t="shared" si="1"/>
        <v>1402100</v>
      </c>
      <c r="T20" s="65">
        <f t="shared" si="2"/>
        <v>5502100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2212100</v>
      </c>
      <c r="D21" s="90">
        <f>D20+D19</f>
        <v>1181000</v>
      </c>
      <c r="E21" s="90">
        <f t="shared" si="5"/>
        <v>647700</v>
      </c>
      <c r="F21" s="90">
        <f t="shared" si="5"/>
        <v>383400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7287900</v>
      </c>
      <c r="P21" s="90">
        <f t="shared" si="5"/>
        <v>2700000</v>
      </c>
      <c r="Q21" s="90">
        <f t="shared" si="5"/>
        <v>3400000</v>
      </c>
      <c r="R21" s="115">
        <f t="shared" si="5"/>
        <v>1187900</v>
      </c>
      <c r="S21" s="69">
        <f t="shared" si="1"/>
        <v>4532100</v>
      </c>
      <c r="T21" s="70">
        <f t="shared" si="2"/>
        <v>9312100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36509</v>
      </c>
      <c r="D23" s="92">
        <f>D25</f>
        <v>36509</v>
      </c>
      <c r="E23" s="92">
        <f>E24</f>
        <v>0</v>
      </c>
      <c r="F23" s="92">
        <f aca="true" t="shared" si="7" ref="F23:R23">F24</f>
        <v>0</v>
      </c>
      <c r="G23" s="92">
        <f t="shared" si="7"/>
        <v>44600</v>
      </c>
      <c r="H23" s="92">
        <f t="shared" si="7"/>
        <v>0</v>
      </c>
      <c r="I23" s="92">
        <f t="shared" si="7"/>
        <v>0</v>
      </c>
      <c r="J23" s="92">
        <f t="shared" si="7"/>
        <v>44600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0</v>
      </c>
      <c r="D24" s="91">
        <v>0</v>
      </c>
      <c r="E24" s="80">
        <v>0</v>
      </c>
      <c r="F24" s="80">
        <f>22300-22300</f>
        <v>0</v>
      </c>
      <c r="G24" s="79">
        <f>H24+I24+J24</f>
        <v>44600</v>
      </c>
      <c r="H24" s="80">
        <v>0</v>
      </c>
      <c r="I24" s="80">
        <v>0</v>
      </c>
      <c r="J24" s="80">
        <f>22300+22300</f>
        <v>44600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138553</v>
      </c>
      <c r="D25" s="82">
        <f>97409-60900</f>
        <v>36509</v>
      </c>
      <c r="E25" s="82">
        <f>97781-63618</f>
        <v>34163</v>
      </c>
      <c r="F25" s="82">
        <f>97781-29900</f>
        <v>67881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447761</v>
      </c>
      <c r="P25" s="82">
        <v>97781</v>
      </c>
      <c r="Q25" s="82">
        <v>97781</v>
      </c>
      <c r="R25" s="93">
        <f>97781+60900+63618+29900</f>
        <v>252199</v>
      </c>
      <c r="S25" s="64"/>
      <c r="T25" s="65">
        <f>B25-Q25-R25</f>
        <v>823020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91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91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80240</v>
      </c>
      <c r="D31" s="82">
        <f t="shared" si="9"/>
        <v>0</v>
      </c>
      <c r="E31" s="82">
        <f t="shared" si="9"/>
        <v>0</v>
      </c>
      <c r="F31" s="82">
        <f t="shared" si="9"/>
        <v>80240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1782560</v>
      </c>
      <c r="P31" s="82">
        <f t="shared" si="9"/>
        <v>0</v>
      </c>
      <c r="Q31" s="82">
        <f t="shared" si="9"/>
        <v>0</v>
      </c>
      <c r="R31" s="93">
        <f t="shared" si="9"/>
        <v>1782560</v>
      </c>
      <c r="S31" s="69">
        <f>D31+E31+F31+H31+I31+J31+L31</f>
        <v>80240</v>
      </c>
      <c r="T31" s="70">
        <f>B31-Q31-R31</f>
        <v>80240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91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80240</v>
      </c>
      <c r="D33" s="91">
        <v>0</v>
      </c>
      <c r="E33" s="80">
        <v>0</v>
      </c>
      <c r="F33" s="80">
        <v>80240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1782560</v>
      </c>
      <c r="P33" s="80">
        <v>0</v>
      </c>
      <c r="Q33" s="80">
        <v>0</v>
      </c>
      <c r="R33" s="76">
        <f>1862800-80240</f>
        <v>1782560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91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91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8000</v>
      </c>
      <c r="D37" s="93">
        <f t="shared" si="11"/>
        <v>1000</v>
      </c>
      <c r="E37" s="93">
        <f t="shared" si="11"/>
        <v>7000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49000</v>
      </c>
      <c r="L37" s="93">
        <f t="shared" si="11"/>
        <v>0</v>
      </c>
      <c r="M37" s="93">
        <f t="shared" si="11"/>
        <v>40000</v>
      </c>
      <c r="N37" s="93">
        <f t="shared" si="11"/>
        <v>9000</v>
      </c>
      <c r="O37" s="93">
        <f t="shared" si="11"/>
        <v>3000</v>
      </c>
      <c r="P37" s="93">
        <f t="shared" si="11"/>
        <v>3000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11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8000</v>
      </c>
      <c r="D39" s="116">
        <v>1000</v>
      </c>
      <c r="E39" s="76">
        <v>7000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49000</v>
      </c>
      <c r="L39" s="76">
        <v>0</v>
      </c>
      <c r="M39" s="76">
        <v>40000</v>
      </c>
      <c r="N39" s="76">
        <f>10000-1000</f>
        <v>9000</v>
      </c>
      <c r="O39" s="76">
        <f t="shared" si="15"/>
        <v>3000</v>
      </c>
      <c r="P39" s="76">
        <f>10000-7000</f>
        <v>3000</v>
      </c>
      <c r="Q39" s="76">
        <v>0</v>
      </c>
      <c r="R39" s="76">
        <v>0</v>
      </c>
      <c r="S39" s="64">
        <f>D39+E39+F39+H39+I39+J39+L39</f>
        <v>8000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11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11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11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11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>B47+B53+B57</f>
        <v>12947300</v>
      </c>
      <c r="C46" s="96">
        <f aca="true" t="shared" si="17" ref="C46:R46">C47+C53+C57</f>
        <v>366600</v>
      </c>
      <c r="D46" s="96">
        <f>D47+D53+D57</f>
        <v>266800</v>
      </c>
      <c r="E46" s="96">
        <f>E47+E53+E57</f>
        <v>37000</v>
      </c>
      <c r="F46" s="96">
        <f>F47+F53+F57</f>
        <v>62800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11561800</v>
      </c>
      <c r="L46" s="96">
        <f t="shared" si="17"/>
        <v>0</v>
      </c>
      <c r="M46" s="96">
        <f t="shared" si="17"/>
        <v>50000</v>
      </c>
      <c r="N46" s="96">
        <f>N47+N53+N57</f>
        <v>11511800</v>
      </c>
      <c r="O46" s="96">
        <f t="shared" si="17"/>
        <v>911300</v>
      </c>
      <c r="P46" s="96">
        <f t="shared" si="17"/>
        <v>60000</v>
      </c>
      <c r="Q46" s="96">
        <f t="shared" si="17"/>
        <v>30000</v>
      </c>
      <c r="R46" s="96">
        <f t="shared" si="17"/>
        <v>821300</v>
      </c>
      <c r="S46" s="97">
        <f>O46+K46+G46+C46</f>
        <v>12947300</v>
      </c>
      <c r="T46" s="97">
        <f>B46-Q46-R46</f>
        <v>12096000</v>
      </c>
      <c r="U46" s="108"/>
      <c r="V46" s="109"/>
    </row>
    <row r="47" spans="1:22" ht="21.75" customHeight="1">
      <c r="A47" s="50" t="s">
        <v>60</v>
      </c>
      <c r="B47" s="98">
        <f>B49+B50+B51+B48</f>
        <v>12947300</v>
      </c>
      <c r="C47" s="98">
        <f aca="true" t="shared" si="18" ref="C47:R47">C49+C50+C51</f>
        <v>366600</v>
      </c>
      <c r="D47" s="98">
        <f>D49+D50+D51</f>
        <v>266800</v>
      </c>
      <c r="E47" s="98">
        <f t="shared" si="18"/>
        <v>37000</v>
      </c>
      <c r="F47" s="98">
        <f t="shared" si="18"/>
        <v>62800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>K49+K50+K51+K48</f>
        <v>11561800</v>
      </c>
      <c r="L47" s="98">
        <f t="shared" si="18"/>
        <v>0</v>
      </c>
      <c r="M47" s="98">
        <f t="shared" si="18"/>
        <v>50000</v>
      </c>
      <c r="N47" s="98">
        <f>N49+N50+N51+N48</f>
        <v>11511800</v>
      </c>
      <c r="O47" s="98">
        <f t="shared" si="18"/>
        <v>911300</v>
      </c>
      <c r="P47" s="98">
        <f t="shared" si="18"/>
        <v>60000</v>
      </c>
      <c r="Q47" s="98">
        <f t="shared" si="18"/>
        <v>30000</v>
      </c>
      <c r="R47" s="98">
        <f t="shared" si="18"/>
        <v>821300</v>
      </c>
      <c r="S47" s="98" t="e">
        <f>#REF!+S49+#REF!+S50+S51+S52+#REF!</f>
        <v>#REF!</v>
      </c>
      <c r="T47" s="98" t="e">
        <f>#REF!+T49+#REF!+T50+T51+T52+#REF!</f>
        <v>#REF!</v>
      </c>
      <c r="U47" s="108"/>
      <c r="V47" s="109"/>
    </row>
    <row r="48" spans="1:22" ht="15" customHeight="1">
      <c r="A48" s="7" t="s">
        <v>77</v>
      </c>
      <c r="B48" s="76">
        <f>C48+G48+K48+O48</f>
        <v>11473700</v>
      </c>
      <c r="C48" s="99">
        <f>D48+E48+F48</f>
        <v>0</v>
      </c>
      <c r="D48" s="133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11473700</v>
      </c>
      <c r="L48" s="79">
        <v>0</v>
      </c>
      <c r="M48" s="79">
        <v>0</v>
      </c>
      <c r="N48" s="79">
        <v>11473700</v>
      </c>
      <c r="O48" s="99">
        <f>P48+Q48+R48</f>
        <v>0</v>
      </c>
      <c r="P48" s="79">
        <v>0</v>
      </c>
      <c r="Q48" s="79">
        <v>0</v>
      </c>
      <c r="R48" s="79"/>
      <c r="S48" s="100"/>
      <c r="T48" s="100">
        <f aca="true" t="shared" si="19" ref="T48:T53">B48-Q48-R48</f>
        <v>11473700</v>
      </c>
      <c r="U48" s="109"/>
      <c r="V48" s="109"/>
    </row>
    <row r="49" spans="1:22" ht="15" customHeight="1">
      <c r="A49" s="7" t="s">
        <v>71</v>
      </c>
      <c r="B49" s="76">
        <f>C49+G49+K49+O49</f>
        <v>1022500</v>
      </c>
      <c r="C49" s="99">
        <f>D49+E49+F49</f>
        <v>255700</v>
      </c>
      <c r="D49" s="133">
        <v>255700</v>
      </c>
      <c r="E49" s="79">
        <v>0</v>
      </c>
      <c r="F49" s="79">
        <v>0</v>
      </c>
      <c r="G49" s="99">
        <f>H49+I49+J49</f>
        <v>0</v>
      </c>
      <c r="H49" s="79">
        <v>0</v>
      </c>
      <c r="I49" s="79">
        <v>0</v>
      </c>
      <c r="J49" s="79">
        <v>0</v>
      </c>
      <c r="K49" s="99">
        <f>L49+M49+N49</f>
        <v>0</v>
      </c>
      <c r="L49" s="79">
        <v>0</v>
      </c>
      <c r="M49" s="79">
        <v>0</v>
      </c>
      <c r="N49" s="79">
        <v>0</v>
      </c>
      <c r="O49" s="99">
        <f>P49+Q49+R49</f>
        <v>766800</v>
      </c>
      <c r="P49" s="79">
        <v>0</v>
      </c>
      <c r="Q49" s="79">
        <v>0</v>
      </c>
      <c r="R49" s="79">
        <f>1025200-2700-255700</f>
        <v>766800</v>
      </c>
      <c r="S49" s="100"/>
      <c r="T49" s="100">
        <f t="shared" si="19"/>
        <v>255700</v>
      </c>
      <c r="U49" s="109"/>
      <c r="V49" s="109"/>
    </row>
    <row r="50" spans="1:22" ht="15" customHeight="1">
      <c r="A50" s="8" t="s">
        <v>76</v>
      </c>
      <c r="B50" s="76">
        <f>C50+G50+K50+O50</f>
        <v>443500</v>
      </c>
      <c r="C50" s="99">
        <f>D50+E50+F50</f>
        <v>110900</v>
      </c>
      <c r="D50" s="134">
        <v>11100</v>
      </c>
      <c r="E50" s="99">
        <f>35400+1600</f>
        <v>37000</v>
      </c>
      <c r="F50" s="99">
        <f>70000-7200</f>
        <v>62800</v>
      </c>
      <c r="G50" s="99">
        <f>H50+I50+J50</f>
        <v>100000</v>
      </c>
      <c r="H50" s="99">
        <v>10000</v>
      </c>
      <c r="I50" s="99">
        <v>30000</v>
      </c>
      <c r="J50" s="79">
        <v>60000</v>
      </c>
      <c r="K50" s="99">
        <f>L50+M50+N50</f>
        <v>88100</v>
      </c>
      <c r="L50" s="99">
        <v>0</v>
      </c>
      <c r="M50" s="99">
        <v>50000</v>
      </c>
      <c r="N50" s="99">
        <v>38100</v>
      </c>
      <c r="O50" s="99">
        <f>P50+Q50+R50</f>
        <v>144500</v>
      </c>
      <c r="P50" s="99">
        <v>60000</v>
      </c>
      <c r="Q50" s="99">
        <v>30000</v>
      </c>
      <c r="R50" s="79">
        <f>60000-11100-1600+7200</f>
        <v>54500</v>
      </c>
      <c r="S50" s="100">
        <f>O50+K50+G50+C50</f>
        <v>443500</v>
      </c>
      <c r="T50" s="100">
        <f t="shared" si="19"/>
        <v>359000</v>
      </c>
      <c r="U50" s="109"/>
      <c r="V50" s="109"/>
    </row>
    <row r="51" spans="1:22" ht="15" customHeight="1">
      <c r="A51" s="8" t="s">
        <v>69</v>
      </c>
      <c r="B51" s="76">
        <f>C51+G51+K51+O51</f>
        <v>7600</v>
      </c>
      <c r="C51" s="99">
        <v>0</v>
      </c>
      <c r="D51" s="134">
        <v>0</v>
      </c>
      <c r="E51" s="99">
        <v>0</v>
      </c>
      <c r="F51" s="99">
        <v>0</v>
      </c>
      <c r="G51" s="99">
        <f>H51+I51+J51</f>
        <v>7600</v>
      </c>
      <c r="H51" s="101">
        <f>0+7600</f>
        <v>7600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f>7600-7600</f>
        <v>0</v>
      </c>
      <c r="S51" s="100">
        <f>O51+K51+G51+C51</f>
        <v>7600</v>
      </c>
      <c r="T51" s="100">
        <f t="shared" si="19"/>
        <v>7600</v>
      </c>
      <c r="U51" s="109"/>
      <c r="V51" s="109"/>
    </row>
    <row r="52" spans="1:22" ht="27" customHeight="1">
      <c r="A52" s="61" t="s">
        <v>70</v>
      </c>
      <c r="B52" s="76">
        <f>C52+G52+K52+O52</f>
        <v>0</v>
      </c>
      <c r="C52" s="99">
        <f>D52+E52+F52</f>
        <v>0</v>
      </c>
      <c r="D52" s="135">
        <v>0</v>
      </c>
      <c r="E52" s="99">
        <v>0</v>
      </c>
      <c r="F52" s="99">
        <v>0</v>
      </c>
      <c r="G52" s="99">
        <f>H52+I52+J52</f>
        <v>0</v>
      </c>
      <c r="H52" s="101">
        <v>0</v>
      </c>
      <c r="I52" s="101">
        <v>0</v>
      </c>
      <c r="J52" s="101">
        <v>0</v>
      </c>
      <c r="K52" s="99">
        <f>L52+M52+N52</f>
        <v>0</v>
      </c>
      <c r="L52" s="101">
        <v>0</v>
      </c>
      <c r="M52" s="101">
        <v>0</v>
      </c>
      <c r="N52" s="101">
        <v>0</v>
      </c>
      <c r="O52" s="99">
        <f>P52+Q52+R52</f>
        <v>0</v>
      </c>
      <c r="P52" s="101">
        <v>0</v>
      </c>
      <c r="Q52" s="101">
        <v>0</v>
      </c>
      <c r="R52" s="79">
        <v>0</v>
      </c>
      <c r="S52" s="100">
        <f>O52+K52+G52+C52</f>
        <v>0</v>
      </c>
      <c r="T52" s="100">
        <f t="shared" si="19"/>
        <v>0</v>
      </c>
      <c r="U52" s="109"/>
      <c r="V52" s="109"/>
    </row>
    <row r="53" spans="1:20" s="107" customFormat="1" ht="26.25" customHeight="1">
      <c r="A53" s="45" t="s">
        <v>67</v>
      </c>
      <c r="B53" s="102">
        <f aca="true" t="shared" si="20" ref="B53:R53">B54+B55+B56</f>
        <v>0</v>
      </c>
      <c r="C53" s="102">
        <f t="shared" si="20"/>
        <v>0</v>
      </c>
      <c r="D53" s="102">
        <f t="shared" si="20"/>
        <v>0</v>
      </c>
      <c r="E53" s="102">
        <f t="shared" si="20"/>
        <v>0</v>
      </c>
      <c r="F53" s="102">
        <f t="shared" si="20"/>
        <v>0</v>
      </c>
      <c r="G53" s="102">
        <f t="shared" si="20"/>
        <v>0</v>
      </c>
      <c r="H53" s="102">
        <f t="shared" si="20"/>
        <v>0</v>
      </c>
      <c r="I53" s="102">
        <f t="shared" si="20"/>
        <v>0</v>
      </c>
      <c r="J53" s="102">
        <f t="shared" si="20"/>
        <v>0</v>
      </c>
      <c r="K53" s="102">
        <f t="shared" si="20"/>
        <v>0</v>
      </c>
      <c r="L53" s="102">
        <f t="shared" si="20"/>
        <v>0</v>
      </c>
      <c r="M53" s="102">
        <f t="shared" si="20"/>
        <v>0</v>
      </c>
      <c r="N53" s="102">
        <f t="shared" si="20"/>
        <v>0</v>
      </c>
      <c r="O53" s="102">
        <f t="shared" si="20"/>
        <v>0</v>
      </c>
      <c r="P53" s="102">
        <f t="shared" si="20"/>
        <v>0</v>
      </c>
      <c r="Q53" s="102">
        <f t="shared" si="20"/>
        <v>0</v>
      </c>
      <c r="R53" s="94">
        <f t="shared" si="20"/>
        <v>0</v>
      </c>
      <c r="S53" s="103">
        <f>O53+K53+G53+C53</f>
        <v>0</v>
      </c>
      <c r="T53" s="103">
        <f t="shared" si="19"/>
        <v>0</v>
      </c>
    </row>
    <row r="54" spans="1:20" s="107" customFormat="1" ht="15.75" customHeight="1">
      <c r="A54" s="62" t="s">
        <v>66</v>
      </c>
      <c r="B54" s="101">
        <f>C54+G54+K54+O54</f>
        <v>0</v>
      </c>
      <c r="C54" s="101">
        <f>D54+E54+F54</f>
        <v>0</v>
      </c>
      <c r="D54" s="135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5" customHeight="1">
      <c r="A55" s="62" t="s">
        <v>65</v>
      </c>
      <c r="B55" s="101">
        <f>C55+G55+K55+O55</f>
        <v>0</v>
      </c>
      <c r="C55" s="101">
        <f>D55+E55+F55</f>
        <v>0</v>
      </c>
      <c r="D55" s="135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13.5" customHeight="1">
      <c r="A56" s="62" t="s">
        <v>64</v>
      </c>
      <c r="B56" s="101">
        <f>C56+G56+K56+O56</f>
        <v>0</v>
      </c>
      <c r="C56" s="101">
        <f>D56+E56+F56</f>
        <v>0</v>
      </c>
      <c r="D56" s="135">
        <v>0</v>
      </c>
      <c r="E56" s="101">
        <v>0</v>
      </c>
      <c r="F56" s="101">
        <v>0</v>
      </c>
      <c r="G56" s="101">
        <f>H56+I56+J56</f>
        <v>0</v>
      </c>
      <c r="H56" s="101">
        <v>0</v>
      </c>
      <c r="I56" s="101">
        <v>0</v>
      </c>
      <c r="J56" s="101">
        <v>0</v>
      </c>
      <c r="K56" s="79">
        <f>L56+M56+N56</f>
        <v>0</v>
      </c>
      <c r="L56" s="101">
        <v>0</v>
      </c>
      <c r="M56" s="101">
        <v>0</v>
      </c>
      <c r="N56" s="101">
        <v>0</v>
      </c>
      <c r="O56" s="101">
        <f>P56+Q56+R56</f>
        <v>0</v>
      </c>
      <c r="P56" s="101">
        <v>0</v>
      </c>
      <c r="Q56" s="101">
        <v>0</v>
      </c>
      <c r="R56" s="79">
        <v>0</v>
      </c>
      <c r="S56" s="103"/>
      <c r="T56" s="103"/>
    </row>
    <row r="57" spans="1:20" s="107" customFormat="1" ht="27" customHeight="1">
      <c r="A57" s="48" t="s">
        <v>63</v>
      </c>
      <c r="B57" s="104">
        <f>C57+G57+K57+O57</f>
        <v>0</v>
      </c>
      <c r="C57" s="104">
        <f>D57+E57+F57</f>
        <v>0</v>
      </c>
      <c r="D57" s="104">
        <v>0</v>
      </c>
      <c r="E57" s="104">
        <v>0</v>
      </c>
      <c r="F57" s="104">
        <v>0</v>
      </c>
      <c r="G57" s="104">
        <f>H57+I57+J57</f>
        <v>0</v>
      </c>
      <c r="H57" s="104">
        <v>0</v>
      </c>
      <c r="I57" s="104">
        <v>0</v>
      </c>
      <c r="J57" s="104">
        <v>0</v>
      </c>
      <c r="K57" s="105">
        <f>L57+M57+N57</f>
        <v>0</v>
      </c>
      <c r="L57" s="104">
        <v>0</v>
      </c>
      <c r="M57" s="104">
        <v>0</v>
      </c>
      <c r="N57" s="104">
        <v>0</v>
      </c>
      <c r="O57" s="104">
        <f>P57+Q57+R57</f>
        <v>0</v>
      </c>
      <c r="P57" s="104">
        <v>0</v>
      </c>
      <c r="Q57" s="104">
        <v>0</v>
      </c>
      <c r="R57" s="94">
        <v>0</v>
      </c>
      <c r="S57" s="100">
        <f>O57+K57+G57+C57</f>
        <v>0</v>
      </c>
      <c r="T57" s="100">
        <f>B57-Q57-R57</f>
        <v>0</v>
      </c>
    </row>
    <row r="58" spans="1:22" ht="19.5" customHeight="1">
      <c r="A58" s="51" t="s">
        <v>57</v>
      </c>
      <c r="B58" s="83">
        <f>B46+B6</f>
        <v>63228000</v>
      </c>
      <c r="C58" s="83">
        <f aca="true" t="shared" si="21" ref="C58:R58">C46+C6</f>
        <v>9425802</v>
      </c>
      <c r="D58" s="83">
        <f>D46+D6</f>
        <v>3417709</v>
      </c>
      <c r="E58" s="83">
        <f t="shared" si="21"/>
        <v>2804363</v>
      </c>
      <c r="F58" s="83">
        <f t="shared" si="21"/>
        <v>3167221</v>
      </c>
      <c r="G58" s="83">
        <f t="shared" si="21"/>
        <v>10743243</v>
      </c>
      <c r="H58" s="83">
        <f t="shared" si="21"/>
        <v>4593981</v>
      </c>
      <c r="I58" s="83">
        <f t="shared" si="21"/>
        <v>2869581</v>
      </c>
      <c r="J58" s="83">
        <f t="shared" si="21"/>
        <v>3279681</v>
      </c>
      <c r="K58" s="83">
        <f t="shared" si="21"/>
        <v>22741343</v>
      </c>
      <c r="L58" s="83">
        <f t="shared" si="21"/>
        <v>3709281</v>
      </c>
      <c r="M58" s="83">
        <f t="shared" si="21"/>
        <v>3489781</v>
      </c>
      <c r="N58" s="83">
        <f t="shared" si="21"/>
        <v>15542281</v>
      </c>
      <c r="O58" s="83">
        <f t="shared" si="21"/>
        <v>20354121</v>
      </c>
      <c r="P58" s="83">
        <f t="shared" si="21"/>
        <v>5126781</v>
      </c>
      <c r="Q58" s="83">
        <f t="shared" si="21"/>
        <v>6797781</v>
      </c>
      <c r="R58" s="83">
        <f t="shared" si="21"/>
        <v>8429559</v>
      </c>
      <c r="S58" s="106">
        <f>S6+S46</f>
        <v>36314917</v>
      </c>
      <c r="T58" s="106">
        <f>T6+T46</f>
        <v>48000660</v>
      </c>
      <c r="U58" s="108"/>
      <c r="V58" s="109"/>
    </row>
    <row r="59" spans="1:22" ht="56.25" customHeight="1">
      <c r="A59" s="147" t="s">
        <v>74</v>
      </c>
      <c r="B59" s="148"/>
      <c r="C59" s="148"/>
      <c r="D59" s="136"/>
      <c r="E59" s="124"/>
      <c r="F59" s="125"/>
      <c r="G59" s="126"/>
      <c r="H59" s="126"/>
      <c r="I59" s="125" t="s">
        <v>75</v>
      </c>
      <c r="J59" s="126"/>
      <c r="K59" s="127"/>
      <c r="L59" s="128"/>
      <c r="M59" s="126"/>
      <c r="N59" s="126"/>
      <c r="O59" s="126"/>
      <c r="P59" s="128"/>
      <c r="Q59" s="128"/>
      <c r="R59" s="126"/>
      <c r="S59" s="15">
        <f>B59-R59</f>
        <v>0</v>
      </c>
      <c r="T59" s="15"/>
      <c r="U59" s="108"/>
      <c r="V59" s="109"/>
    </row>
    <row r="60" spans="1:20" ht="40.5" customHeight="1">
      <c r="A60" s="17" t="s">
        <v>73</v>
      </c>
      <c r="B60" s="18"/>
      <c r="C60" s="17"/>
      <c r="D60" s="25"/>
      <c r="P60" s="17"/>
      <c r="Q60" s="17"/>
      <c r="S60" s="15">
        <f>B60-R60</f>
        <v>0</v>
      </c>
      <c r="T60" s="15"/>
    </row>
    <row r="61" spans="1:20" ht="40.5" customHeight="1">
      <c r="A61" s="27"/>
      <c r="B61" s="19"/>
      <c r="C61" s="16"/>
      <c r="D61" s="27"/>
      <c r="E61" s="16"/>
      <c r="F61" s="16"/>
      <c r="S61" s="15" t="e">
        <f>#REF!-R61</f>
        <v>#REF!</v>
      </c>
      <c r="T61" s="15"/>
    </row>
    <row r="62" spans="1:20" ht="12.75">
      <c r="A62" s="27"/>
      <c r="B62" s="19"/>
      <c r="C62" s="19"/>
      <c r="D62" s="19"/>
      <c r="E62" s="19"/>
      <c r="F62" s="19"/>
      <c r="G62" s="25"/>
      <c r="H62" s="25"/>
      <c r="I62" s="25"/>
      <c r="S62" s="15">
        <f>B61-R62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>
        <f>B63-R63</f>
        <v>0</v>
      </c>
      <c r="T63" s="15"/>
    </row>
    <row r="64" spans="1:20" ht="12.75" customHeight="1">
      <c r="A64" s="28"/>
      <c r="B64" s="29"/>
      <c r="C64" s="29"/>
      <c r="D64" s="29"/>
      <c r="E64" s="29"/>
      <c r="F64" s="29"/>
      <c r="G64" s="26"/>
      <c r="H64" s="26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15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7" ht="12.75">
      <c r="E107" s="3" t="s">
        <v>29</v>
      </c>
    </row>
  </sheetData>
  <sheetProtection/>
  <mergeCells count="5">
    <mergeCell ref="A2:R2"/>
    <mergeCell ref="A4:A5"/>
    <mergeCell ref="B4:B5"/>
    <mergeCell ref="D4:R4"/>
    <mergeCell ref="A59:C59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zoomScaleSheetLayoutView="100" zoomScalePageLayoutView="0" workbookViewId="0" topLeftCell="A1">
      <pane ySplit="5" topLeftCell="A52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107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1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138" t="s">
        <v>3</v>
      </c>
      <c r="E5" s="137" t="s">
        <v>4</v>
      </c>
      <c r="F5" s="5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50280700</v>
      </c>
      <c r="C6" s="77">
        <f aca="true" t="shared" si="0" ref="C6:R6">C11+C16+C17+C18+C21+C22+C23+C25+C26+C27+C28+C31+C34+C37+C44</f>
        <v>9402162</v>
      </c>
      <c r="D6" s="77">
        <f>D11+D16+D17+D18+D19+D20+D23+D37</f>
        <v>3150909</v>
      </c>
      <c r="E6" s="77">
        <f t="shared" si="0"/>
        <v>2767363</v>
      </c>
      <c r="F6" s="77">
        <f t="shared" si="0"/>
        <v>3447381</v>
      </c>
      <c r="G6" s="77">
        <f t="shared" si="0"/>
        <v>10613343</v>
      </c>
      <c r="H6" s="77">
        <f>H11+H16+H17+H18+H21+H22+H23+H25+H26+H27+H28+H31+H34+H37+H44</f>
        <v>4576381</v>
      </c>
      <c r="I6" s="77">
        <f t="shared" si="0"/>
        <v>2839581</v>
      </c>
      <c r="J6" s="77">
        <f t="shared" si="0"/>
        <v>3197381</v>
      </c>
      <c r="K6" s="77">
        <f t="shared" si="0"/>
        <v>11180043</v>
      </c>
      <c r="L6" s="77">
        <f t="shared" si="0"/>
        <v>3709781</v>
      </c>
      <c r="M6" s="77">
        <f t="shared" si="0"/>
        <v>3439781</v>
      </c>
      <c r="N6" s="77">
        <f>N11+N16+N17+N18+N21+N22+N23+N25+N26+N27+N28+N31+N34+N37+N44</f>
        <v>4030481</v>
      </c>
      <c r="O6" s="77">
        <f t="shared" si="0"/>
        <v>19121661</v>
      </c>
      <c r="P6" s="77">
        <f t="shared" si="0"/>
        <v>5066781</v>
      </c>
      <c r="Q6" s="77">
        <f t="shared" si="0"/>
        <v>6767781</v>
      </c>
      <c r="R6" s="98">
        <f t="shared" si="0"/>
        <v>7287099</v>
      </c>
      <c r="S6" s="64">
        <f aca="true" t="shared" si="1" ref="S6:S22">D6+E6+F6+H6+I6+J6+L6</f>
        <v>23688777</v>
      </c>
      <c r="T6" s="65">
        <f aca="true" t="shared" si="2" ref="T6:T22">B6-Q6-R6</f>
        <v>36225820</v>
      </c>
      <c r="U6" s="66"/>
    </row>
    <row r="7" spans="1:21" ht="15" customHeight="1">
      <c r="A7" s="6" t="s">
        <v>19</v>
      </c>
      <c r="B7" s="76">
        <f>C7+G7+K7+O7</f>
        <v>18712900</v>
      </c>
      <c r="C7" s="76">
        <f>SUM(D7:F7)</f>
        <v>3660000</v>
      </c>
      <c r="D7" s="130">
        <f>1100000-240000</f>
        <v>860000</v>
      </c>
      <c r="E7" s="78">
        <f>1100000+200000</f>
        <v>1300000</v>
      </c>
      <c r="F7" s="78">
        <v>1500000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5752900</v>
      </c>
      <c r="P7" s="78">
        <v>1500000</v>
      </c>
      <c r="Q7" s="78">
        <v>1500000</v>
      </c>
      <c r="R7" s="76">
        <f>2003000+240000+709900-200000</f>
        <v>2752900</v>
      </c>
      <c r="S7" s="64">
        <f t="shared" si="1"/>
        <v>9860000</v>
      </c>
      <c r="T7" s="65">
        <f t="shared" si="2"/>
        <v>14460000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500</v>
      </c>
      <c r="D8" s="91">
        <v>0</v>
      </c>
      <c r="E8" s="80">
        <v>0</v>
      </c>
      <c r="F8" s="80">
        <v>500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61100</v>
      </c>
      <c r="P8" s="80">
        <f>17400-17400</f>
        <v>0</v>
      </c>
      <c r="Q8" s="80">
        <v>0</v>
      </c>
      <c r="R8" s="76">
        <v>61100</v>
      </c>
      <c r="S8" s="64">
        <f t="shared" si="1"/>
        <v>1000</v>
      </c>
      <c r="T8" s="65">
        <f t="shared" si="2"/>
        <v>1500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102600</v>
      </c>
      <c r="D9" s="91">
        <v>1800</v>
      </c>
      <c r="E9" s="80">
        <v>800</v>
      </c>
      <c r="F9" s="80">
        <v>100000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243000</v>
      </c>
      <c r="P9" s="80">
        <v>0</v>
      </c>
      <c r="Q9" s="80">
        <v>0</v>
      </c>
      <c r="R9" s="76">
        <f>170000+75600-1800-800</f>
        <v>243000</v>
      </c>
      <c r="S9" s="64">
        <f t="shared" si="1"/>
        <v>272600</v>
      </c>
      <c r="T9" s="65">
        <f t="shared" si="2"/>
        <v>452600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24300</v>
      </c>
      <c r="D10" s="91">
        <v>6700</v>
      </c>
      <c r="E10" s="80">
        <v>2600</v>
      </c>
      <c r="F10" s="80">
        <v>15000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f>N10</f>
        <v>15000</v>
      </c>
      <c r="L10" s="80">
        <v>0</v>
      </c>
      <c r="M10" s="80">
        <v>0</v>
      </c>
      <c r="N10" s="80">
        <v>15000</v>
      </c>
      <c r="O10" s="79">
        <f>P10+Q10+R10</f>
        <v>64100</v>
      </c>
      <c r="P10" s="80">
        <v>0</v>
      </c>
      <c r="Q10" s="80">
        <v>0</v>
      </c>
      <c r="R10" s="76">
        <f>73400-6700-2600</f>
        <v>64100</v>
      </c>
      <c r="S10" s="64">
        <f t="shared" si="1"/>
        <v>39300</v>
      </c>
      <c r="T10" s="65">
        <f t="shared" si="2"/>
        <v>54300</v>
      </c>
      <c r="U10" s="66"/>
    </row>
    <row r="11" spans="1:21" ht="12.75" customHeight="1">
      <c r="A11" s="36" t="s">
        <v>22</v>
      </c>
      <c r="B11" s="81">
        <f>SUM(B7:B10)</f>
        <v>19589500</v>
      </c>
      <c r="C11" s="81">
        <f aca="true" t="shared" si="3" ref="C11:R11">SUM(C7:C10)</f>
        <v>3787400</v>
      </c>
      <c r="D11" s="81">
        <f>SUM(D7:D10)</f>
        <v>868500</v>
      </c>
      <c r="E11" s="81">
        <f t="shared" si="3"/>
        <v>1303400</v>
      </c>
      <c r="F11" s="81">
        <f t="shared" si="3"/>
        <v>1615500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1695500</v>
      </c>
      <c r="O11" s="83">
        <f t="shared" si="3"/>
        <v>6121100</v>
      </c>
      <c r="P11" s="81">
        <f t="shared" si="3"/>
        <v>1500000</v>
      </c>
      <c r="Q11" s="81">
        <f t="shared" si="3"/>
        <v>1500000</v>
      </c>
      <c r="R11" s="83">
        <f t="shared" si="3"/>
        <v>3121100</v>
      </c>
      <c r="S11" s="67">
        <f t="shared" si="1"/>
        <v>10172900</v>
      </c>
      <c r="T11" s="68">
        <f t="shared" si="2"/>
        <v>14968400</v>
      </c>
      <c r="U11" s="66"/>
    </row>
    <row r="12" spans="1:21" ht="12.75" customHeight="1">
      <c r="A12" s="7" t="s">
        <v>78</v>
      </c>
      <c r="B12" s="80">
        <f>C12+G12+K12+O12</f>
        <v>2983700</v>
      </c>
      <c r="C12" s="80">
        <f>D12+E12+F12</f>
        <v>900300</v>
      </c>
      <c r="D12" s="91">
        <f>250000+110300</f>
        <v>360300</v>
      </c>
      <c r="E12" s="80">
        <f>100000+190000</f>
        <v>290000</v>
      </c>
      <c r="F12" s="80">
        <v>250000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383400</v>
      </c>
      <c r="P12" s="80">
        <v>250000</v>
      </c>
      <c r="Q12" s="80">
        <f>250000-190000</f>
        <v>60000</v>
      </c>
      <c r="R12" s="76">
        <f>150000+33700-110300</f>
        <v>73400</v>
      </c>
      <c r="S12" s="64">
        <f t="shared" si="1"/>
        <v>2000300</v>
      </c>
      <c r="T12" s="65">
        <f t="shared" si="2"/>
        <v>2850300</v>
      </c>
      <c r="U12" s="66"/>
    </row>
    <row r="13" spans="1:21" ht="12.75" customHeight="1">
      <c r="A13" s="7" t="s">
        <v>79</v>
      </c>
      <c r="B13" s="80">
        <f>C13+G13+K13+O13</f>
        <v>29600</v>
      </c>
      <c r="C13" s="80">
        <f>D13+E13+F13</f>
        <v>6100</v>
      </c>
      <c r="D13" s="91">
        <f>1800+800</f>
        <v>2600</v>
      </c>
      <c r="E13" s="80">
        <f>1800-100</f>
        <v>1700</v>
      </c>
      <c r="F13" s="80">
        <v>1800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7100</v>
      </c>
      <c r="P13" s="80">
        <v>2000</v>
      </c>
      <c r="Q13" s="80">
        <v>2000</v>
      </c>
      <c r="R13" s="76">
        <f>3800-800+100</f>
        <v>3100</v>
      </c>
      <c r="S13" s="64">
        <f t="shared" si="1"/>
        <v>13500</v>
      </c>
      <c r="T13" s="65">
        <f t="shared" si="2"/>
        <v>24500</v>
      </c>
      <c r="U13" s="66"/>
    </row>
    <row r="14" spans="1:21" ht="12.75" customHeight="1">
      <c r="A14" s="7" t="s">
        <v>80</v>
      </c>
      <c r="B14" s="80">
        <f>C14+G14+K14+O14</f>
        <v>3568900</v>
      </c>
      <c r="C14" s="80">
        <f>D14+E14+F14</f>
        <v>1428000</v>
      </c>
      <c r="D14" s="91">
        <f>150000+392000</f>
        <v>542000</v>
      </c>
      <c r="E14" s="80">
        <f>150000+286000</f>
        <v>436000</v>
      </c>
      <c r="F14" s="80">
        <v>450000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222000</v>
      </c>
      <c r="P14" s="80">
        <f>300000-286000</f>
        <v>14000</v>
      </c>
      <c r="Q14" s="80">
        <f>300000-92000</f>
        <v>208000</v>
      </c>
      <c r="R14" s="76">
        <f>300000-300000</f>
        <v>0</v>
      </c>
      <c r="S14" s="64">
        <f t="shared" si="1"/>
        <v>2628000</v>
      </c>
      <c r="T14" s="65">
        <f t="shared" si="2"/>
        <v>3360900</v>
      </c>
      <c r="U14" s="66"/>
    </row>
    <row r="15" spans="1:21" ht="12.75" customHeight="1">
      <c r="A15" s="7" t="s">
        <v>81</v>
      </c>
      <c r="B15" s="80">
        <f>C15+G15+K15+O15</f>
        <v>0</v>
      </c>
      <c r="C15" s="80">
        <f>D15+E15+F15</f>
        <v>0</v>
      </c>
      <c r="D15" s="91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2334400</v>
      </c>
      <c r="D16" s="82">
        <f>D15+D14+D13+D12</f>
        <v>904900</v>
      </c>
      <c r="E16" s="82">
        <f t="shared" si="4"/>
        <v>727700</v>
      </c>
      <c r="F16" s="82">
        <f t="shared" si="4"/>
        <v>701800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612500</v>
      </c>
      <c r="P16" s="82">
        <f t="shared" si="4"/>
        <v>266000</v>
      </c>
      <c r="Q16" s="82">
        <f t="shared" si="4"/>
        <v>270000</v>
      </c>
      <c r="R16" s="93">
        <f t="shared" si="4"/>
        <v>76500</v>
      </c>
      <c r="S16" s="67">
        <f t="shared" si="1"/>
        <v>4641800</v>
      </c>
      <c r="T16" s="68">
        <f t="shared" si="2"/>
        <v>6235700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67200</v>
      </c>
      <c r="D17" s="131">
        <v>67200</v>
      </c>
      <c r="E17" s="84">
        <v>0</v>
      </c>
      <c r="F17" s="84">
        <v>0</v>
      </c>
      <c r="G17" s="85">
        <f>H17+I17+J17</f>
        <v>1782800</v>
      </c>
      <c r="H17" s="84">
        <f>1850000-67200</f>
        <v>1782800</v>
      </c>
      <c r="I17" s="84">
        <v>0</v>
      </c>
      <c r="J17" s="85">
        <v>0</v>
      </c>
      <c r="K17" s="86">
        <f>L17+M17+N17</f>
        <v>900000</v>
      </c>
      <c r="L17" s="84">
        <v>900000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149200</v>
      </c>
      <c r="D18" s="95">
        <f>20000+71800</f>
        <v>91800</v>
      </c>
      <c r="E18" s="87">
        <f>10000+37400</f>
        <v>47400</v>
      </c>
      <c r="F18" s="87">
        <v>10000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3400800</v>
      </c>
      <c r="P18" s="87">
        <v>500000</v>
      </c>
      <c r="Q18" s="87">
        <v>1500000</v>
      </c>
      <c r="R18" s="88">
        <f>1510000-71800-37400</f>
        <v>1400800</v>
      </c>
      <c r="S18" s="69">
        <f t="shared" si="1"/>
        <v>299200</v>
      </c>
      <c r="T18" s="70">
        <f t="shared" si="2"/>
        <v>1299200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2278300</v>
      </c>
      <c r="D19" s="132">
        <f>400000+520300</f>
        <v>920300</v>
      </c>
      <c r="E19" s="118">
        <f>1100000-520300-121700</f>
        <v>458000</v>
      </c>
      <c r="F19" s="118">
        <v>900000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921700</v>
      </c>
      <c r="P19" s="118">
        <v>300000</v>
      </c>
      <c r="Q19" s="118">
        <v>400000</v>
      </c>
      <c r="R19" s="119">
        <f>100000+121700</f>
        <v>221700</v>
      </c>
      <c r="S19" s="120">
        <f t="shared" si="1"/>
        <v>3898300</v>
      </c>
      <c r="T19" s="121">
        <f t="shared" si="2"/>
        <v>4578300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550400</v>
      </c>
      <c r="D20" s="91">
        <f>200000+60700</f>
        <v>260700</v>
      </c>
      <c r="E20" s="80">
        <f>100000+89700</f>
        <v>189700</v>
      </c>
      <c r="F20" s="80">
        <v>100000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5749600</v>
      </c>
      <c r="P20" s="80">
        <f>2400000</f>
        <v>2400000</v>
      </c>
      <c r="Q20" s="80">
        <v>3000000</v>
      </c>
      <c r="R20" s="76">
        <f>500000-60700-89700</f>
        <v>349600</v>
      </c>
      <c r="S20" s="64">
        <f t="shared" si="1"/>
        <v>1250400</v>
      </c>
      <c r="T20" s="65">
        <f t="shared" si="2"/>
        <v>5350400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2828700</v>
      </c>
      <c r="D21" s="90">
        <f>D20+D19</f>
        <v>1181000</v>
      </c>
      <c r="E21" s="90">
        <f t="shared" si="5"/>
        <v>647700</v>
      </c>
      <c r="F21" s="90">
        <f t="shared" si="5"/>
        <v>1000000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6671300</v>
      </c>
      <c r="P21" s="90">
        <f t="shared" si="5"/>
        <v>2700000</v>
      </c>
      <c r="Q21" s="90">
        <f t="shared" si="5"/>
        <v>3400000</v>
      </c>
      <c r="R21" s="115">
        <f t="shared" si="5"/>
        <v>571300</v>
      </c>
      <c r="S21" s="69">
        <f t="shared" si="1"/>
        <v>5148700</v>
      </c>
      <c r="T21" s="70">
        <f t="shared" si="2"/>
        <v>9928700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58809</v>
      </c>
      <c r="D23" s="92">
        <f>D25</f>
        <v>36509</v>
      </c>
      <c r="E23" s="92">
        <f aca="true" t="shared" si="7" ref="E23:R23">E24</f>
        <v>0</v>
      </c>
      <c r="F23" s="92">
        <f t="shared" si="7"/>
        <v>22300</v>
      </c>
      <c r="G23" s="92">
        <f t="shared" si="7"/>
        <v>22300</v>
      </c>
      <c r="H23" s="92">
        <f t="shared" si="7"/>
        <v>0</v>
      </c>
      <c r="I23" s="92">
        <f t="shared" si="7"/>
        <v>0</v>
      </c>
      <c r="J23" s="92">
        <f t="shared" si="7"/>
        <v>22300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22300</v>
      </c>
      <c r="D24" s="91">
        <v>0</v>
      </c>
      <c r="E24" s="80">
        <v>0</v>
      </c>
      <c r="F24" s="80">
        <v>22300</v>
      </c>
      <c r="G24" s="79">
        <f>H24+I24+J24</f>
        <v>22300</v>
      </c>
      <c r="H24" s="80">
        <v>0</v>
      </c>
      <c r="I24" s="80">
        <v>0</v>
      </c>
      <c r="J24" s="80">
        <v>22300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168453</v>
      </c>
      <c r="D25" s="82">
        <f>97409-60900</f>
        <v>36509</v>
      </c>
      <c r="E25" s="82">
        <f>97781-63618</f>
        <v>34163</v>
      </c>
      <c r="F25" s="82">
        <v>97781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417861</v>
      </c>
      <c r="P25" s="82">
        <v>97781</v>
      </c>
      <c r="Q25" s="82">
        <v>97781</v>
      </c>
      <c r="R25" s="93">
        <f>97781+60900+63618</f>
        <v>222299</v>
      </c>
      <c r="S25" s="64"/>
      <c r="T25" s="65">
        <f>B25-Q25-R25</f>
        <v>852920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91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91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1862800</v>
      </c>
      <c r="P31" s="82">
        <f t="shared" si="9"/>
        <v>0</v>
      </c>
      <c r="Q31" s="82">
        <f t="shared" si="9"/>
        <v>0</v>
      </c>
      <c r="R31" s="93">
        <f t="shared" si="9"/>
        <v>1862800</v>
      </c>
      <c r="S31" s="69">
        <f>D31+E31+F31+H31+I31+J31+L31</f>
        <v>0</v>
      </c>
      <c r="T31" s="70">
        <f>B31-Q31-R31</f>
        <v>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91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0</v>
      </c>
      <c r="D33" s="91">
        <v>0</v>
      </c>
      <c r="E33" s="80">
        <v>0</v>
      </c>
      <c r="F33" s="80">
        <v>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1862800</v>
      </c>
      <c r="P33" s="80">
        <v>0</v>
      </c>
      <c r="Q33" s="80">
        <v>0</v>
      </c>
      <c r="R33" s="76">
        <v>1862800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91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91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8000</v>
      </c>
      <c r="D37" s="93">
        <f t="shared" si="11"/>
        <v>1000</v>
      </c>
      <c r="E37" s="93">
        <f t="shared" si="11"/>
        <v>7000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49000</v>
      </c>
      <c r="L37" s="93">
        <f t="shared" si="11"/>
        <v>0</v>
      </c>
      <c r="M37" s="93">
        <f t="shared" si="11"/>
        <v>40000</v>
      </c>
      <c r="N37" s="93">
        <f t="shared" si="11"/>
        <v>9000</v>
      </c>
      <c r="O37" s="93">
        <f t="shared" si="11"/>
        <v>3000</v>
      </c>
      <c r="P37" s="93">
        <f t="shared" si="11"/>
        <v>3000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11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8000</v>
      </c>
      <c r="D39" s="116">
        <v>1000</v>
      </c>
      <c r="E39" s="76">
        <v>7000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49000</v>
      </c>
      <c r="L39" s="76">
        <v>0</v>
      </c>
      <c r="M39" s="76">
        <v>40000</v>
      </c>
      <c r="N39" s="76">
        <f>10000-1000</f>
        <v>9000</v>
      </c>
      <c r="O39" s="76">
        <f t="shared" si="15"/>
        <v>3000</v>
      </c>
      <c r="P39" s="76">
        <f>10000-7000</f>
        <v>3000</v>
      </c>
      <c r="Q39" s="76">
        <v>0</v>
      </c>
      <c r="R39" s="76">
        <v>0</v>
      </c>
      <c r="S39" s="64">
        <f>D39+E39+F39+H39+I39+J39+L39</f>
        <v>8000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11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11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11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11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>B47+B53+B57</f>
        <v>12947300</v>
      </c>
      <c r="C46" s="96">
        <f aca="true" t="shared" si="17" ref="C46:R46">C47+C53+C57</f>
        <v>373800</v>
      </c>
      <c r="D46" s="96">
        <f>D47+D53+D57</f>
        <v>266800</v>
      </c>
      <c r="E46" s="96">
        <f t="shared" si="17"/>
        <v>37000</v>
      </c>
      <c r="F46" s="96">
        <f t="shared" si="17"/>
        <v>70000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11561800</v>
      </c>
      <c r="L46" s="96">
        <f t="shared" si="17"/>
        <v>0</v>
      </c>
      <c r="M46" s="96">
        <f t="shared" si="17"/>
        <v>50000</v>
      </c>
      <c r="N46" s="96">
        <f>N47+N53+N57</f>
        <v>11511800</v>
      </c>
      <c r="O46" s="96">
        <f t="shared" si="17"/>
        <v>904100</v>
      </c>
      <c r="P46" s="96">
        <f t="shared" si="17"/>
        <v>60000</v>
      </c>
      <c r="Q46" s="96">
        <f t="shared" si="17"/>
        <v>30000</v>
      </c>
      <c r="R46" s="96">
        <f t="shared" si="17"/>
        <v>814100</v>
      </c>
      <c r="S46" s="97">
        <f>O46+K46+G46+C46</f>
        <v>12947300</v>
      </c>
      <c r="T46" s="97">
        <f>B46-Q46-R46</f>
        <v>12103200</v>
      </c>
      <c r="U46" s="108"/>
      <c r="V46" s="109"/>
    </row>
    <row r="47" spans="1:22" ht="21.75" customHeight="1">
      <c r="A47" s="50" t="s">
        <v>60</v>
      </c>
      <c r="B47" s="98">
        <f>B49+B50+B51+B48</f>
        <v>12947300</v>
      </c>
      <c r="C47" s="98">
        <f aca="true" t="shared" si="18" ref="C47:R47">C49+C50+C51</f>
        <v>373800</v>
      </c>
      <c r="D47" s="98">
        <f>D49+D50+D51</f>
        <v>266800</v>
      </c>
      <c r="E47" s="98">
        <f t="shared" si="18"/>
        <v>37000</v>
      </c>
      <c r="F47" s="98">
        <f t="shared" si="18"/>
        <v>70000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>K49+K50+K51+K48</f>
        <v>11561800</v>
      </c>
      <c r="L47" s="98">
        <f t="shared" si="18"/>
        <v>0</v>
      </c>
      <c r="M47" s="98">
        <f t="shared" si="18"/>
        <v>50000</v>
      </c>
      <c r="N47" s="98">
        <f>N49+N50+N51+N48</f>
        <v>11511800</v>
      </c>
      <c r="O47" s="98">
        <f t="shared" si="18"/>
        <v>904100</v>
      </c>
      <c r="P47" s="98">
        <f t="shared" si="18"/>
        <v>60000</v>
      </c>
      <c r="Q47" s="98">
        <f t="shared" si="18"/>
        <v>30000</v>
      </c>
      <c r="R47" s="98">
        <f t="shared" si="18"/>
        <v>814100</v>
      </c>
      <c r="S47" s="98" t="e">
        <f>#REF!+S49+#REF!+S50+S51+S52+#REF!</f>
        <v>#REF!</v>
      </c>
      <c r="T47" s="98" t="e">
        <f>#REF!+T49+#REF!+T50+T51+T52+#REF!</f>
        <v>#REF!</v>
      </c>
      <c r="U47" s="108"/>
      <c r="V47" s="109"/>
    </row>
    <row r="48" spans="1:22" ht="15" customHeight="1">
      <c r="A48" s="7" t="s">
        <v>77</v>
      </c>
      <c r="B48" s="76">
        <f>C48+G48+K48+O48</f>
        <v>11473700</v>
      </c>
      <c r="C48" s="99">
        <f>D48+E48+F48</f>
        <v>0</v>
      </c>
      <c r="D48" s="133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11473700</v>
      </c>
      <c r="L48" s="79">
        <v>0</v>
      </c>
      <c r="M48" s="79">
        <v>0</v>
      </c>
      <c r="N48" s="79">
        <v>11473700</v>
      </c>
      <c r="O48" s="99">
        <f>P48+Q48+R48</f>
        <v>0</v>
      </c>
      <c r="P48" s="79">
        <v>0</v>
      </c>
      <c r="Q48" s="79">
        <v>0</v>
      </c>
      <c r="R48" s="79"/>
      <c r="S48" s="100"/>
      <c r="T48" s="100">
        <f aca="true" t="shared" si="19" ref="T48:T53">B48-Q48-R48</f>
        <v>11473700</v>
      </c>
      <c r="U48" s="109"/>
      <c r="V48" s="109"/>
    </row>
    <row r="49" spans="1:22" ht="15" customHeight="1">
      <c r="A49" s="7" t="s">
        <v>71</v>
      </c>
      <c r="B49" s="76">
        <f>C49+G49+K49+O49</f>
        <v>1022500</v>
      </c>
      <c r="C49" s="99">
        <f>D49+E49+F49</f>
        <v>255700</v>
      </c>
      <c r="D49" s="133">
        <v>255700</v>
      </c>
      <c r="E49" s="79">
        <v>0</v>
      </c>
      <c r="F49" s="79">
        <v>0</v>
      </c>
      <c r="G49" s="99">
        <f>H49+I49+J49</f>
        <v>0</v>
      </c>
      <c r="H49" s="79">
        <v>0</v>
      </c>
      <c r="I49" s="79">
        <v>0</v>
      </c>
      <c r="J49" s="79">
        <v>0</v>
      </c>
      <c r="K49" s="99">
        <f>L49+M49+N49</f>
        <v>0</v>
      </c>
      <c r="L49" s="79">
        <v>0</v>
      </c>
      <c r="M49" s="79">
        <v>0</v>
      </c>
      <c r="N49" s="79">
        <v>0</v>
      </c>
      <c r="O49" s="99">
        <f>P49+Q49+R49</f>
        <v>766800</v>
      </c>
      <c r="P49" s="79">
        <v>0</v>
      </c>
      <c r="Q49" s="79">
        <v>0</v>
      </c>
      <c r="R49" s="79">
        <f>1025200-2700-255700</f>
        <v>766800</v>
      </c>
      <c r="S49" s="100"/>
      <c r="T49" s="100">
        <f t="shared" si="19"/>
        <v>255700</v>
      </c>
      <c r="U49" s="109"/>
      <c r="V49" s="109"/>
    </row>
    <row r="50" spans="1:22" ht="15" customHeight="1">
      <c r="A50" s="8" t="s">
        <v>76</v>
      </c>
      <c r="B50" s="76">
        <f>C50+G50+K50+O50</f>
        <v>443500</v>
      </c>
      <c r="C50" s="99">
        <f>D50+E50+F50</f>
        <v>118100</v>
      </c>
      <c r="D50" s="134">
        <v>11100</v>
      </c>
      <c r="E50" s="99">
        <f>35400+1600</f>
        <v>37000</v>
      </c>
      <c r="F50" s="99">
        <v>70000</v>
      </c>
      <c r="G50" s="99">
        <f>H50+I50+J50</f>
        <v>100000</v>
      </c>
      <c r="H50" s="99">
        <v>10000</v>
      </c>
      <c r="I50" s="99">
        <v>30000</v>
      </c>
      <c r="J50" s="79">
        <v>60000</v>
      </c>
      <c r="K50" s="99">
        <f>L50+M50+N50</f>
        <v>88100</v>
      </c>
      <c r="L50" s="99">
        <v>0</v>
      </c>
      <c r="M50" s="99">
        <v>50000</v>
      </c>
      <c r="N50" s="99">
        <v>38100</v>
      </c>
      <c r="O50" s="99">
        <f>P50+Q50+R50</f>
        <v>137300</v>
      </c>
      <c r="P50" s="99">
        <v>60000</v>
      </c>
      <c r="Q50" s="99">
        <v>30000</v>
      </c>
      <c r="R50" s="79">
        <f>60000-11100-1600</f>
        <v>47300</v>
      </c>
      <c r="S50" s="100">
        <f>O50+K50+G50+C50</f>
        <v>443500</v>
      </c>
      <c r="T50" s="100">
        <f t="shared" si="19"/>
        <v>366200</v>
      </c>
      <c r="U50" s="109"/>
      <c r="V50" s="109"/>
    </row>
    <row r="51" spans="1:22" ht="15" customHeight="1">
      <c r="A51" s="8" t="s">
        <v>69</v>
      </c>
      <c r="B51" s="76">
        <f>C51+G51+K51+O51</f>
        <v>7600</v>
      </c>
      <c r="C51" s="99">
        <v>0</v>
      </c>
      <c r="D51" s="134">
        <v>0</v>
      </c>
      <c r="E51" s="99">
        <v>0</v>
      </c>
      <c r="F51" s="99">
        <v>0</v>
      </c>
      <c r="G51" s="99">
        <f>H51+I51+J51</f>
        <v>7600</v>
      </c>
      <c r="H51" s="101">
        <f>0+7600</f>
        <v>7600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f>7600-7600</f>
        <v>0</v>
      </c>
      <c r="S51" s="100">
        <f>O51+K51+G51+C51</f>
        <v>7600</v>
      </c>
      <c r="T51" s="100">
        <f t="shared" si="19"/>
        <v>7600</v>
      </c>
      <c r="U51" s="109"/>
      <c r="V51" s="109"/>
    </row>
    <row r="52" spans="1:22" ht="27" customHeight="1">
      <c r="A52" s="61" t="s">
        <v>70</v>
      </c>
      <c r="B52" s="76">
        <f>C52+G52+K52+O52</f>
        <v>0</v>
      </c>
      <c r="C52" s="99">
        <f>D52+E52+F52</f>
        <v>0</v>
      </c>
      <c r="D52" s="135">
        <v>0</v>
      </c>
      <c r="E52" s="99">
        <v>0</v>
      </c>
      <c r="F52" s="99">
        <v>0</v>
      </c>
      <c r="G52" s="99">
        <f>H52+I52+J52</f>
        <v>0</v>
      </c>
      <c r="H52" s="101">
        <v>0</v>
      </c>
      <c r="I52" s="101">
        <v>0</v>
      </c>
      <c r="J52" s="101">
        <v>0</v>
      </c>
      <c r="K52" s="99">
        <f>L52+M52+N52</f>
        <v>0</v>
      </c>
      <c r="L52" s="101">
        <v>0</v>
      </c>
      <c r="M52" s="101">
        <v>0</v>
      </c>
      <c r="N52" s="101">
        <v>0</v>
      </c>
      <c r="O52" s="99">
        <f>P52+Q52+R52</f>
        <v>0</v>
      </c>
      <c r="P52" s="101">
        <v>0</v>
      </c>
      <c r="Q52" s="101">
        <v>0</v>
      </c>
      <c r="R52" s="79">
        <v>0</v>
      </c>
      <c r="S52" s="100">
        <f>O52+K52+G52+C52</f>
        <v>0</v>
      </c>
      <c r="T52" s="100">
        <f t="shared" si="19"/>
        <v>0</v>
      </c>
      <c r="U52" s="109"/>
      <c r="V52" s="109"/>
    </row>
    <row r="53" spans="1:20" s="107" customFormat="1" ht="26.25" customHeight="1">
      <c r="A53" s="45" t="s">
        <v>67</v>
      </c>
      <c r="B53" s="102">
        <f aca="true" t="shared" si="20" ref="B53:R53">B54+B55+B56</f>
        <v>0</v>
      </c>
      <c r="C53" s="102">
        <f t="shared" si="20"/>
        <v>0</v>
      </c>
      <c r="D53" s="102">
        <f t="shared" si="20"/>
        <v>0</v>
      </c>
      <c r="E53" s="102">
        <f t="shared" si="20"/>
        <v>0</v>
      </c>
      <c r="F53" s="102">
        <f t="shared" si="20"/>
        <v>0</v>
      </c>
      <c r="G53" s="102">
        <f t="shared" si="20"/>
        <v>0</v>
      </c>
      <c r="H53" s="102">
        <f t="shared" si="20"/>
        <v>0</v>
      </c>
      <c r="I53" s="102">
        <f t="shared" si="20"/>
        <v>0</v>
      </c>
      <c r="J53" s="102">
        <f t="shared" si="20"/>
        <v>0</v>
      </c>
      <c r="K53" s="102">
        <f t="shared" si="20"/>
        <v>0</v>
      </c>
      <c r="L53" s="102">
        <f t="shared" si="20"/>
        <v>0</v>
      </c>
      <c r="M53" s="102">
        <f t="shared" si="20"/>
        <v>0</v>
      </c>
      <c r="N53" s="102">
        <f t="shared" si="20"/>
        <v>0</v>
      </c>
      <c r="O53" s="102">
        <f t="shared" si="20"/>
        <v>0</v>
      </c>
      <c r="P53" s="102">
        <f t="shared" si="20"/>
        <v>0</v>
      </c>
      <c r="Q53" s="102">
        <f t="shared" si="20"/>
        <v>0</v>
      </c>
      <c r="R53" s="94">
        <f t="shared" si="20"/>
        <v>0</v>
      </c>
      <c r="S53" s="103">
        <f>O53+K53+G53+C53</f>
        <v>0</v>
      </c>
      <c r="T53" s="103">
        <f t="shared" si="19"/>
        <v>0</v>
      </c>
    </row>
    <row r="54" spans="1:20" s="107" customFormat="1" ht="15.75" customHeight="1">
      <c r="A54" s="62" t="s">
        <v>66</v>
      </c>
      <c r="B54" s="101">
        <f>C54+G54+K54+O54</f>
        <v>0</v>
      </c>
      <c r="C54" s="101">
        <f>D54+E54+F54</f>
        <v>0</v>
      </c>
      <c r="D54" s="135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5" customHeight="1">
      <c r="A55" s="62" t="s">
        <v>65</v>
      </c>
      <c r="B55" s="101">
        <f>C55+G55+K55+O55</f>
        <v>0</v>
      </c>
      <c r="C55" s="101">
        <f>D55+E55+F55</f>
        <v>0</v>
      </c>
      <c r="D55" s="135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13.5" customHeight="1">
      <c r="A56" s="62" t="s">
        <v>64</v>
      </c>
      <c r="B56" s="101">
        <f>C56+G56+K56+O56</f>
        <v>0</v>
      </c>
      <c r="C56" s="101">
        <f>D56+E56+F56</f>
        <v>0</v>
      </c>
      <c r="D56" s="135">
        <v>0</v>
      </c>
      <c r="E56" s="101">
        <v>0</v>
      </c>
      <c r="F56" s="101">
        <v>0</v>
      </c>
      <c r="G56" s="101">
        <f>H56+I56+J56</f>
        <v>0</v>
      </c>
      <c r="H56" s="101">
        <v>0</v>
      </c>
      <c r="I56" s="101">
        <v>0</v>
      </c>
      <c r="J56" s="101">
        <v>0</v>
      </c>
      <c r="K56" s="79">
        <f>L56+M56+N56</f>
        <v>0</v>
      </c>
      <c r="L56" s="101">
        <v>0</v>
      </c>
      <c r="M56" s="101">
        <v>0</v>
      </c>
      <c r="N56" s="101">
        <v>0</v>
      </c>
      <c r="O56" s="101">
        <f>P56+Q56+R56</f>
        <v>0</v>
      </c>
      <c r="P56" s="101">
        <v>0</v>
      </c>
      <c r="Q56" s="101">
        <v>0</v>
      </c>
      <c r="R56" s="79">
        <v>0</v>
      </c>
      <c r="S56" s="103"/>
      <c r="T56" s="103"/>
    </row>
    <row r="57" spans="1:20" s="107" customFormat="1" ht="27" customHeight="1">
      <c r="A57" s="48" t="s">
        <v>63</v>
      </c>
      <c r="B57" s="104">
        <f>C57+G57+K57+O57</f>
        <v>0</v>
      </c>
      <c r="C57" s="104">
        <f>D57+E57+F57</f>
        <v>0</v>
      </c>
      <c r="D57" s="104">
        <v>0</v>
      </c>
      <c r="E57" s="104">
        <v>0</v>
      </c>
      <c r="F57" s="104">
        <v>0</v>
      </c>
      <c r="G57" s="104">
        <f>H57+I57+J57</f>
        <v>0</v>
      </c>
      <c r="H57" s="104">
        <v>0</v>
      </c>
      <c r="I57" s="104">
        <v>0</v>
      </c>
      <c r="J57" s="104">
        <v>0</v>
      </c>
      <c r="K57" s="105">
        <f>L57+M57+N57</f>
        <v>0</v>
      </c>
      <c r="L57" s="104">
        <v>0</v>
      </c>
      <c r="M57" s="104">
        <v>0</v>
      </c>
      <c r="N57" s="104">
        <v>0</v>
      </c>
      <c r="O57" s="104">
        <f>P57+Q57+R57</f>
        <v>0</v>
      </c>
      <c r="P57" s="104">
        <v>0</v>
      </c>
      <c r="Q57" s="104">
        <v>0</v>
      </c>
      <c r="R57" s="94">
        <v>0</v>
      </c>
      <c r="S57" s="100">
        <f>O57+K57+G57+C57</f>
        <v>0</v>
      </c>
      <c r="T57" s="100">
        <f>B57-Q57-R57</f>
        <v>0</v>
      </c>
    </row>
    <row r="58" spans="1:22" ht="19.5" customHeight="1">
      <c r="A58" s="51" t="s">
        <v>57</v>
      </c>
      <c r="B58" s="83">
        <f>B46+B6</f>
        <v>63228000</v>
      </c>
      <c r="C58" s="83">
        <f aca="true" t="shared" si="21" ref="C58:R58">C46+C6</f>
        <v>9775962</v>
      </c>
      <c r="D58" s="83">
        <f>D46+D6</f>
        <v>3417709</v>
      </c>
      <c r="E58" s="83">
        <f t="shared" si="21"/>
        <v>2804363</v>
      </c>
      <c r="F58" s="83">
        <f t="shared" si="21"/>
        <v>3517381</v>
      </c>
      <c r="G58" s="83">
        <f t="shared" si="21"/>
        <v>10720943</v>
      </c>
      <c r="H58" s="83">
        <f t="shared" si="21"/>
        <v>4593981</v>
      </c>
      <c r="I58" s="83">
        <f t="shared" si="21"/>
        <v>2869581</v>
      </c>
      <c r="J58" s="83">
        <f t="shared" si="21"/>
        <v>3257381</v>
      </c>
      <c r="K58" s="83">
        <f t="shared" si="21"/>
        <v>22741843</v>
      </c>
      <c r="L58" s="83">
        <f t="shared" si="21"/>
        <v>3709781</v>
      </c>
      <c r="M58" s="83">
        <f t="shared" si="21"/>
        <v>3489781</v>
      </c>
      <c r="N58" s="83">
        <f t="shared" si="21"/>
        <v>15542281</v>
      </c>
      <c r="O58" s="83">
        <f t="shared" si="21"/>
        <v>20025761</v>
      </c>
      <c r="P58" s="83">
        <f t="shared" si="21"/>
        <v>5126781</v>
      </c>
      <c r="Q58" s="83">
        <f t="shared" si="21"/>
        <v>6797781</v>
      </c>
      <c r="R58" s="83">
        <f t="shared" si="21"/>
        <v>8101199</v>
      </c>
      <c r="S58" s="106">
        <f>S6+S46</f>
        <v>36636077</v>
      </c>
      <c r="T58" s="106">
        <f>T6+T46</f>
        <v>48329020</v>
      </c>
      <c r="U58" s="108"/>
      <c r="V58" s="109"/>
    </row>
    <row r="59" spans="1:22" ht="56.25" customHeight="1">
      <c r="A59" s="147" t="s">
        <v>74</v>
      </c>
      <c r="B59" s="148"/>
      <c r="C59" s="148"/>
      <c r="D59" s="136"/>
      <c r="E59" s="124"/>
      <c r="F59" s="125"/>
      <c r="G59" s="126"/>
      <c r="H59" s="126"/>
      <c r="I59" s="125" t="s">
        <v>75</v>
      </c>
      <c r="J59" s="126"/>
      <c r="K59" s="127"/>
      <c r="L59" s="128"/>
      <c r="M59" s="126"/>
      <c r="N59" s="126"/>
      <c r="O59" s="126"/>
      <c r="P59" s="128"/>
      <c r="Q59" s="128"/>
      <c r="R59" s="126"/>
      <c r="S59" s="15">
        <f>B59-R59</f>
        <v>0</v>
      </c>
      <c r="T59" s="15"/>
      <c r="U59" s="108"/>
      <c r="V59" s="109"/>
    </row>
    <row r="60" spans="1:20" ht="40.5" customHeight="1">
      <c r="A60" s="17" t="s">
        <v>73</v>
      </c>
      <c r="B60" s="18"/>
      <c r="C60" s="17"/>
      <c r="D60" s="25"/>
      <c r="P60" s="17"/>
      <c r="Q60" s="17"/>
      <c r="S60" s="15">
        <f>B60-R60</f>
        <v>0</v>
      </c>
      <c r="T60" s="15"/>
    </row>
    <row r="61" spans="1:20" ht="40.5" customHeight="1">
      <c r="A61" s="27"/>
      <c r="B61" s="19"/>
      <c r="C61" s="16"/>
      <c r="D61" s="27"/>
      <c r="E61" s="16"/>
      <c r="F61" s="16"/>
      <c r="S61" s="15" t="e">
        <f>#REF!-R61</f>
        <v>#REF!</v>
      </c>
      <c r="T61" s="15"/>
    </row>
    <row r="62" spans="1:20" ht="12.75">
      <c r="A62" s="27"/>
      <c r="B62" s="19"/>
      <c r="C62" s="19"/>
      <c r="D62" s="19"/>
      <c r="E62" s="19"/>
      <c r="F62" s="19"/>
      <c r="G62" s="25"/>
      <c r="H62" s="25"/>
      <c r="I62" s="25"/>
      <c r="S62" s="15">
        <f>B61-R62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>
        <f>B63-R63</f>
        <v>0</v>
      </c>
      <c r="T63" s="15"/>
    </row>
    <row r="64" spans="1:20" ht="12.75" customHeight="1">
      <c r="A64" s="28"/>
      <c r="B64" s="29"/>
      <c r="C64" s="29"/>
      <c r="D64" s="29"/>
      <c r="E64" s="29"/>
      <c r="F64" s="29"/>
      <c r="G64" s="26"/>
      <c r="H64" s="26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15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7" ht="12.75">
      <c r="E107" s="3" t="s">
        <v>29</v>
      </c>
    </row>
  </sheetData>
  <sheetProtection/>
  <mergeCells count="5">
    <mergeCell ref="A2:R2"/>
    <mergeCell ref="A4:A5"/>
    <mergeCell ref="B4:B5"/>
    <mergeCell ref="D4:R4"/>
    <mergeCell ref="A59:C59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7"/>
  <sheetViews>
    <sheetView zoomScaleSheetLayoutView="100" zoomScalePageLayoutView="0" workbookViewId="0" topLeftCell="A1">
      <pane ySplit="5" topLeftCell="A49" activePane="bottomLeft" state="frozen"/>
      <selection pane="topLeft" activeCell="A1" sqref="A1"/>
      <selection pane="bottomLeft" activeCell="O10" sqref="O10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107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1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138" t="s">
        <v>3</v>
      </c>
      <c r="E5" s="137" t="s">
        <v>4</v>
      </c>
      <c r="F5" s="5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50280700</v>
      </c>
      <c r="C6" s="77">
        <f aca="true" t="shared" si="0" ref="C6:R6">C11+C16+C17+C18+C21+C22+C23+C25+C26+C27+C28+C31+C34+C37+C44</f>
        <v>8774080</v>
      </c>
      <c r="D6" s="77">
        <f>D11+D16+D17+D18+D19+D20+D23+D37</f>
        <v>3150909</v>
      </c>
      <c r="E6" s="77">
        <f t="shared" si="0"/>
        <v>2139281</v>
      </c>
      <c r="F6" s="77">
        <f t="shared" si="0"/>
        <v>3447381</v>
      </c>
      <c r="G6" s="77">
        <f t="shared" si="0"/>
        <v>10613343</v>
      </c>
      <c r="H6" s="77">
        <f>H11+H16+H17+H18+H21+H22+H23+H25+H26+H27+H28+H31+H34+H37+H44</f>
        <v>4576381</v>
      </c>
      <c r="I6" s="77">
        <f t="shared" si="0"/>
        <v>2839581</v>
      </c>
      <c r="J6" s="77">
        <f t="shared" si="0"/>
        <v>3197381</v>
      </c>
      <c r="K6" s="77">
        <f t="shared" si="0"/>
        <v>11180043</v>
      </c>
      <c r="L6" s="77">
        <f t="shared" si="0"/>
        <v>3709781</v>
      </c>
      <c r="M6" s="77">
        <f t="shared" si="0"/>
        <v>3439781</v>
      </c>
      <c r="N6" s="77">
        <f>N11+N16+N17+N18+N21+N22+N23+N25+N26+N27+N28+N31+N34+N37+N44</f>
        <v>4030481</v>
      </c>
      <c r="O6" s="77">
        <f t="shared" si="0"/>
        <v>19749743</v>
      </c>
      <c r="P6" s="77">
        <f t="shared" si="0"/>
        <v>5359781</v>
      </c>
      <c r="Q6" s="77">
        <f t="shared" si="0"/>
        <v>6957781</v>
      </c>
      <c r="R6" s="98">
        <f t="shared" si="0"/>
        <v>7432181</v>
      </c>
      <c r="S6" s="64">
        <f aca="true" t="shared" si="1" ref="S6:S22">D6+E6+F6+H6+I6+J6+L6</f>
        <v>23060695</v>
      </c>
      <c r="T6" s="65">
        <f aca="true" t="shared" si="2" ref="T6:T22">B6-Q6-R6</f>
        <v>35890738</v>
      </c>
      <c r="U6" s="66"/>
    </row>
    <row r="7" spans="1:21" ht="15" customHeight="1">
      <c r="A7" s="6" t="s">
        <v>19</v>
      </c>
      <c r="B7" s="76">
        <f>C7+G7+K7+O7</f>
        <v>18712900</v>
      </c>
      <c r="C7" s="76">
        <f>SUM(D7:F7)</f>
        <v>3460000</v>
      </c>
      <c r="D7" s="130">
        <f>1100000-240000</f>
        <v>860000</v>
      </c>
      <c r="E7" s="78">
        <v>1100000</v>
      </c>
      <c r="F7" s="78">
        <v>1500000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5952900</v>
      </c>
      <c r="P7" s="78">
        <v>1500000</v>
      </c>
      <c r="Q7" s="78">
        <v>1500000</v>
      </c>
      <c r="R7" s="76">
        <f>2003000+240000+709900</f>
        <v>2952900</v>
      </c>
      <c r="S7" s="64">
        <f t="shared" si="1"/>
        <v>9660000</v>
      </c>
      <c r="T7" s="65">
        <f t="shared" si="2"/>
        <v>14260000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500</v>
      </c>
      <c r="D8" s="91">
        <v>0</v>
      </c>
      <c r="E8" s="80">
        <v>0</v>
      </c>
      <c r="F8" s="80">
        <v>500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61100</v>
      </c>
      <c r="P8" s="80">
        <f>17400-17400</f>
        <v>0</v>
      </c>
      <c r="Q8" s="80">
        <v>0</v>
      </c>
      <c r="R8" s="76">
        <v>61100</v>
      </c>
      <c r="S8" s="64">
        <f t="shared" si="1"/>
        <v>1000</v>
      </c>
      <c r="T8" s="65">
        <f t="shared" si="2"/>
        <v>1500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101800</v>
      </c>
      <c r="D9" s="91">
        <v>1800</v>
      </c>
      <c r="E9" s="80">
        <v>0</v>
      </c>
      <c r="F9" s="80">
        <v>100000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243800</v>
      </c>
      <c r="P9" s="80">
        <v>0</v>
      </c>
      <c r="Q9" s="80">
        <v>0</v>
      </c>
      <c r="R9" s="76">
        <f>170000+75600-1800</f>
        <v>243800</v>
      </c>
      <c r="S9" s="64">
        <f t="shared" si="1"/>
        <v>271800</v>
      </c>
      <c r="T9" s="65">
        <f t="shared" si="2"/>
        <v>451800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21700</v>
      </c>
      <c r="D10" s="91">
        <v>6700</v>
      </c>
      <c r="E10" s="80">
        <v>0</v>
      </c>
      <c r="F10" s="80">
        <v>15000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v>15000</v>
      </c>
      <c r="L10" s="80">
        <v>0</v>
      </c>
      <c r="M10" s="80">
        <v>0</v>
      </c>
      <c r="N10" s="80">
        <v>15000</v>
      </c>
      <c r="O10" s="79">
        <f>P10+Q10+R10</f>
        <v>66700</v>
      </c>
      <c r="P10" s="80">
        <v>0</v>
      </c>
      <c r="Q10" s="80">
        <v>0</v>
      </c>
      <c r="R10" s="76">
        <f>73400-6700</f>
        <v>66700</v>
      </c>
      <c r="S10" s="64">
        <f t="shared" si="1"/>
        <v>36700</v>
      </c>
      <c r="T10" s="65">
        <f t="shared" si="2"/>
        <v>51700</v>
      </c>
      <c r="U10" s="66"/>
    </row>
    <row r="11" spans="1:21" ht="12.75" customHeight="1">
      <c r="A11" s="36" t="s">
        <v>22</v>
      </c>
      <c r="B11" s="81">
        <f>SUM(B7:B10)</f>
        <v>19589500</v>
      </c>
      <c r="C11" s="81">
        <f aca="true" t="shared" si="3" ref="C11:R11">SUM(C7:C10)</f>
        <v>3584000</v>
      </c>
      <c r="D11" s="81">
        <f>SUM(D7:D10)</f>
        <v>868500</v>
      </c>
      <c r="E11" s="81">
        <f t="shared" si="3"/>
        <v>1100000</v>
      </c>
      <c r="F11" s="81">
        <f t="shared" si="3"/>
        <v>1615500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1695500</v>
      </c>
      <c r="O11" s="83">
        <f t="shared" si="3"/>
        <v>6324500</v>
      </c>
      <c r="P11" s="81">
        <f t="shared" si="3"/>
        <v>1500000</v>
      </c>
      <c r="Q11" s="81">
        <f t="shared" si="3"/>
        <v>1500000</v>
      </c>
      <c r="R11" s="83">
        <f t="shared" si="3"/>
        <v>3324500</v>
      </c>
      <c r="S11" s="67">
        <f t="shared" si="1"/>
        <v>9969500</v>
      </c>
      <c r="T11" s="68">
        <f t="shared" si="2"/>
        <v>14765000</v>
      </c>
      <c r="U11" s="66"/>
    </row>
    <row r="12" spans="1:21" ht="12.75" customHeight="1">
      <c r="A12" s="7" t="s">
        <v>78</v>
      </c>
      <c r="B12" s="80">
        <f>C12+G12+K12+O12</f>
        <v>2983700</v>
      </c>
      <c r="C12" s="80">
        <f>D12+E12+F12</f>
        <v>710300</v>
      </c>
      <c r="D12" s="91">
        <f>250000+110300</f>
        <v>360300</v>
      </c>
      <c r="E12" s="80">
        <v>100000</v>
      </c>
      <c r="F12" s="80">
        <v>250000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573400</v>
      </c>
      <c r="P12" s="80">
        <v>250000</v>
      </c>
      <c r="Q12" s="80">
        <v>250000</v>
      </c>
      <c r="R12" s="76">
        <f>150000+33700-110300</f>
        <v>73400</v>
      </c>
      <c r="S12" s="64">
        <f t="shared" si="1"/>
        <v>1810300</v>
      </c>
      <c r="T12" s="65">
        <f t="shared" si="2"/>
        <v>2660300</v>
      </c>
      <c r="U12" s="66"/>
    </row>
    <row r="13" spans="1:21" ht="12.75" customHeight="1">
      <c r="A13" s="7" t="s">
        <v>79</v>
      </c>
      <c r="B13" s="80">
        <f>C13+G13+K13+O13</f>
        <v>29600</v>
      </c>
      <c r="C13" s="80">
        <f>D13+E13+F13</f>
        <v>6200</v>
      </c>
      <c r="D13" s="91">
        <f>1800+800</f>
        <v>2600</v>
      </c>
      <c r="E13" s="80">
        <v>1800</v>
      </c>
      <c r="F13" s="80">
        <v>1800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7000</v>
      </c>
      <c r="P13" s="80">
        <v>2000</v>
      </c>
      <c r="Q13" s="80">
        <v>2000</v>
      </c>
      <c r="R13" s="76">
        <f>3800-800</f>
        <v>3000</v>
      </c>
      <c r="S13" s="64">
        <f t="shared" si="1"/>
        <v>13600</v>
      </c>
      <c r="T13" s="65">
        <f t="shared" si="2"/>
        <v>24600</v>
      </c>
      <c r="U13" s="66"/>
    </row>
    <row r="14" spans="1:21" ht="12.75" customHeight="1">
      <c r="A14" s="7" t="s">
        <v>80</v>
      </c>
      <c r="B14" s="80">
        <f>C14+G14+K14+O14</f>
        <v>3568900</v>
      </c>
      <c r="C14" s="80">
        <f>D14+E14+F14</f>
        <v>1142000</v>
      </c>
      <c r="D14" s="91">
        <f>150000+392000</f>
        <v>542000</v>
      </c>
      <c r="E14" s="80">
        <v>150000</v>
      </c>
      <c r="F14" s="80">
        <v>450000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508000</v>
      </c>
      <c r="P14" s="80">
        <v>300000</v>
      </c>
      <c r="Q14" s="80">
        <f>300000-92000</f>
        <v>208000</v>
      </c>
      <c r="R14" s="76">
        <f>300000-300000</f>
        <v>0</v>
      </c>
      <c r="S14" s="64">
        <f t="shared" si="1"/>
        <v>2342000</v>
      </c>
      <c r="T14" s="65">
        <f t="shared" si="2"/>
        <v>3360900</v>
      </c>
      <c r="U14" s="66"/>
    </row>
    <row r="15" spans="1:21" ht="12.75" customHeight="1">
      <c r="A15" s="7" t="s">
        <v>81</v>
      </c>
      <c r="B15" s="80">
        <f>C15+G15+K15+O15</f>
        <v>0</v>
      </c>
      <c r="C15" s="80">
        <f>D15+E15+F15</f>
        <v>0</v>
      </c>
      <c r="D15" s="91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1858500</v>
      </c>
      <c r="D16" s="82">
        <f>D15+D14+D13+D12</f>
        <v>904900</v>
      </c>
      <c r="E16" s="82">
        <f t="shared" si="4"/>
        <v>251800</v>
      </c>
      <c r="F16" s="82">
        <f t="shared" si="4"/>
        <v>701800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1088400</v>
      </c>
      <c r="P16" s="82">
        <f t="shared" si="4"/>
        <v>552000</v>
      </c>
      <c r="Q16" s="82">
        <f t="shared" si="4"/>
        <v>460000</v>
      </c>
      <c r="R16" s="93">
        <f t="shared" si="4"/>
        <v>76400</v>
      </c>
      <c r="S16" s="67">
        <f t="shared" si="1"/>
        <v>4165900</v>
      </c>
      <c r="T16" s="68">
        <f t="shared" si="2"/>
        <v>6045800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67200</v>
      </c>
      <c r="D17" s="131">
        <v>67200</v>
      </c>
      <c r="E17" s="84">
        <v>0</v>
      </c>
      <c r="F17" s="84">
        <v>0</v>
      </c>
      <c r="G17" s="85">
        <f>H17+I17+J17</f>
        <v>1782800</v>
      </c>
      <c r="H17" s="84">
        <f>1850000-67200</f>
        <v>1782800</v>
      </c>
      <c r="I17" s="84">
        <v>0</v>
      </c>
      <c r="J17" s="85">
        <v>0</v>
      </c>
      <c r="K17" s="86">
        <f>L17+M17+N17</f>
        <v>900000</v>
      </c>
      <c r="L17" s="84">
        <v>900000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111800</v>
      </c>
      <c r="D18" s="95">
        <f>20000+71800</f>
        <v>91800</v>
      </c>
      <c r="E18" s="87">
        <v>10000</v>
      </c>
      <c r="F18" s="87">
        <v>10000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3438200</v>
      </c>
      <c r="P18" s="87">
        <v>500000</v>
      </c>
      <c r="Q18" s="87">
        <v>1500000</v>
      </c>
      <c r="R18" s="88">
        <f>1510000-71800</f>
        <v>1438200</v>
      </c>
      <c r="S18" s="69">
        <f t="shared" si="1"/>
        <v>261800</v>
      </c>
      <c r="T18" s="70">
        <f t="shared" si="2"/>
        <v>1261800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2400000</v>
      </c>
      <c r="D19" s="132">
        <f>400000+520300</f>
        <v>920300</v>
      </c>
      <c r="E19" s="118">
        <f>1100000-520300</f>
        <v>579700</v>
      </c>
      <c r="F19" s="118">
        <v>900000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800000</v>
      </c>
      <c r="P19" s="118">
        <v>300000</v>
      </c>
      <c r="Q19" s="118">
        <v>400000</v>
      </c>
      <c r="R19" s="119">
        <v>100000</v>
      </c>
      <c r="S19" s="120">
        <f t="shared" si="1"/>
        <v>4020000</v>
      </c>
      <c r="T19" s="121">
        <f t="shared" si="2"/>
        <v>4700000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460700</v>
      </c>
      <c r="D20" s="91">
        <f>200000+60700</f>
        <v>260700</v>
      </c>
      <c r="E20" s="80">
        <v>100000</v>
      </c>
      <c r="F20" s="80">
        <v>100000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5839300</v>
      </c>
      <c r="P20" s="80">
        <f>2400000</f>
        <v>2400000</v>
      </c>
      <c r="Q20" s="80">
        <v>3000000</v>
      </c>
      <c r="R20" s="76">
        <f>500000-60700</f>
        <v>439300</v>
      </c>
      <c r="S20" s="64">
        <f t="shared" si="1"/>
        <v>1160700</v>
      </c>
      <c r="T20" s="65">
        <f t="shared" si="2"/>
        <v>5260700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2860700</v>
      </c>
      <c r="D21" s="90">
        <f>D20+D19</f>
        <v>1181000</v>
      </c>
      <c r="E21" s="90">
        <f t="shared" si="5"/>
        <v>679700</v>
      </c>
      <c r="F21" s="90">
        <f t="shared" si="5"/>
        <v>1000000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6639300</v>
      </c>
      <c r="P21" s="90">
        <f t="shared" si="5"/>
        <v>2700000</v>
      </c>
      <c r="Q21" s="90">
        <f t="shared" si="5"/>
        <v>3400000</v>
      </c>
      <c r="R21" s="115">
        <f t="shared" si="5"/>
        <v>539300</v>
      </c>
      <c r="S21" s="69">
        <f t="shared" si="1"/>
        <v>5180700</v>
      </c>
      <c r="T21" s="70">
        <f t="shared" si="2"/>
        <v>9960700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58809</v>
      </c>
      <c r="D23" s="92">
        <f>D25</f>
        <v>36509</v>
      </c>
      <c r="E23" s="92">
        <f aca="true" t="shared" si="7" ref="E23:R23">E24</f>
        <v>0</v>
      </c>
      <c r="F23" s="92">
        <f t="shared" si="7"/>
        <v>22300</v>
      </c>
      <c r="G23" s="92">
        <f t="shared" si="7"/>
        <v>22300</v>
      </c>
      <c r="H23" s="92">
        <f t="shared" si="7"/>
        <v>0</v>
      </c>
      <c r="I23" s="92">
        <f t="shared" si="7"/>
        <v>0</v>
      </c>
      <c r="J23" s="92">
        <f t="shared" si="7"/>
        <v>22300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22300</v>
      </c>
      <c r="D24" s="91">
        <v>0</v>
      </c>
      <c r="E24" s="80">
        <v>0</v>
      </c>
      <c r="F24" s="80">
        <v>22300</v>
      </c>
      <c r="G24" s="79">
        <f>H24+I24+J24</f>
        <v>22300</v>
      </c>
      <c r="H24" s="80">
        <v>0</v>
      </c>
      <c r="I24" s="80">
        <v>0</v>
      </c>
      <c r="J24" s="80">
        <v>22300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232071</v>
      </c>
      <c r="D25" s="82">
        <f>97409-60900</f>
        <v>36509</v>
      </c>
      <c r="E25" s="82">
        <v>97781</v>
      </c>
      <c r="F25" s="82">
        <v>97781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354243</v>
      </c>
      <c r="P25" s="82">
        <v>97781</v>
      </c>
      <c r="Q25" s="82">
        <v>97781</v>
      </c>
      <c r="R25" s="93">
        <f>97781+60900</f>
        <v>158681</v>
      </c>
      <c r="S25" s="64"/>
      <c r="T25" s="65">
        <f>B25-Q25-R25</f>
        <v>916538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91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91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1862800</v>
      </c>
      <c r="P31" s="82">
        <f t="shared" si="9"/>
        <v>0</v>
      </c>
      <c r="Q31" s="82">
        <f t="shared" si="9"/>
        <v>0</v>
      </c>
      <c r="R31" s="93">
        <f t="shared" si="9"/>
        <v>1862800</v>
      </c>
      <c r="S31" s="69">
        <f>D31+E31+F31+H31+I31+J31+L31</f>
        <v>0</v>
      </c>
      <c r="T31" s="70">
        <f>B31-Q31-R31</f>
        <v>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91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0</v>
      </c>
      <c r="D33" s="91">
        <v>0</v>
      </c>
      <c r="E33" s="80">
        <v>0</v>
      </c>
      <c r="F33" s="80">
        <v>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1862800</v>
      </c>
      <c r="P33" s="80">
        <v>0</v>
      </c>
      <c r="Q33" s="80">
        <v>0</v>
      </c>
      <c r="R33" s="76">
        <v>1862800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91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91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1000</v>
      </c>
      <c r="D37" s="93">
        <f t="shared" si="11"/>
        <v>1000</v>
      </c>
      <c r="E37" s="93">
        <f t="shared" si="11"/>
        <v>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49000</v>
      </c>
      <c r="L37" s="93">
        <f t="shared" si="11"/>
        <v>0</v>
      </c>
      <c r="M37" s="93">
        <f t="shared" si="11"/>
        <v>40000</v>
      </c>
      <c r="N37" s="93">
        <f t="shared" si="11"/>
        <v>9000</v>
      </c>
      <c r="O37" s="93">
        <f t="shared" si="11"/>
        <v>10000</v>
      </c>
      <c r="P37" s="93">
        <f t="shared" si="11"/>
        <v>10000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11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1000</v>
      </c>
      <c r="D39" s="116">
        <v>1000</v>
      </c>
      <c r="E39" s="76">
        <v>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49000</v>
      </c>
      <c r="L39" s="76">
        <v>0</v>
      </c>
      <c r="M39" s="76">
        <v>40000</v>
      </c>
      <c r="N39" s="76">
        <f>10000-1000</f>
        <v>9000</v>
      </c>
      <c r="O39" s="76">
        <f t="shared" si="15"/>
        <v>10000</v>
      </c>
      <c r="P39" s="76">
        <v>10000</v>
      </c>
      <c r="Q39" s="76">
        <v>0</v>
      </c>
      <c r="R39" s="76">
        <v>0</v>
      </c>
      <c r="S39" s="64">
        <f>D39+E39+F39+H39+I39+J39+L39</f>
        <v>1000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11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11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11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11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>B47+B53+B57</f>
        <v>12947300</v>
      </c>
      <c r="C46" s="96">
        <f aca="true" t="shared" si="17" ref="C46:R46">C47+C53+C57</f>
        <v>372200</v>
      </c>
      <c r="D46" s="96">
        <f>D47+D53+D57</f>
        <v>266800</v>
      </c>
      <c r="E46" s="96">
        <f t="shared" si="17"/>
        <v>35400</v>
      </c>
      <c r="F46" s="96">
        <f t="shared" si="17"/>
        <v>70000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11561800</v>
      </c>
      <c r="L46" s="96">
        <f t="shared" si="17"/>
        <v>0</v>
      </c>
      <c r="M46" s="96">
        <f t="shared" si="17"/>
        <v>50000</v>
      </c>
      <c r="N46" s="96">
        <f>N47+N53+N57</f>
        <v>11511800</v>
      </c>
      <c r="O46" s="96">
        <f t="shared" si="17"/>
        <v>905700</v>
      </c>
      <c r="P46" s="96">
        <f t="shared" si="17"/>
        <v>60000</v>
      </c>
      <c r="Q46" s="96">
        <f t="shared" si="17"/>
        <v>30000</v>
      </c>
      <c r="R46" s="96">
        <f t="shared" si="17"/>
        <v>815700</v>
      </c>
      <c r="S46" s="97">
        <f>O46+K46+G46+C46</f>
        <v>12947300</v>
      </c>
      <c r="T46" s="97">
        <f>B46-Q46-R46</f>
        <v>12101600</v>
      </c>
      <c r="U46" s="108"/>
      <c r="V46" s="109"/>
    </row>
    <row r="47" spans="1:22" ht="21.75" customHeight="1">
      <c r="A47" s="50" t="s">
        <v>60</v>
      </c>
      <c r="B47" s="98">
        <f>B49+B50+B51+B48</f>
        <v>12947300</v>
      </c>
      <c r="C47" s="98">
        <f aca="true" t="shared" si="18" ref="C47:R47">C49+C50+C51</f>
        <v>372200</v>
      </c>
      <c r="D47" s="98">
        <f>D49+D50+D51</f>
        <v>266800</v>
      </c>
      <c r="E47" s="98">
        <f t="shared" si="18"/>
        <v>35400</v>
      </c>
      <c r="F47" s="98">
        <f t="shared" si="18"/>
        <v>70000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>K49+K50+K51+K48</f>
        <v>11561800</v>
      </c>
      <c r="L47" s="98">
        <f t="shared" si="18"/>
        <v>0</v>
      </c>
      <c r="M47" s="98">
        <f t="shared" si="18"/>
        <v>50000</v>
      </c>
      <c r="N47" s="98">
        <f>N49+N50+N51+N48</f>
        <v>11511800</v>
      </c>
      <c r="O47" s="98">
        <f t="shared" si="18"/>
        <v>905700</v>
      </c>
      <c r="P47" s="98">
        <f t="shared" si="18"/>
        <v>60000</v>
      </c>
      <c r="Q47" s="98">
        <f t="shared" si="18"/>
        <v>30000</v>
      </c>
      <c r="R47" s="98">
        <f t="shared" si="18"/>
        <v>815700</v>
      </c>
      <c r="S47" s="98" t="e">
        <f>#REF!+S49+#REF!+S50+S51+S52+#REF!</f>
        <v>#REF!</v>
      </c>
      <c r="T47" s="98" t="e">
        <f>#REF!+T49+#REF!+T50+T51+T52+#REF!</f>
        <v>#REF!</v>
      </c>
      <c r="U47" s="108"/>
      <c r="V47" s="109"/>
    </row>
    <row r="48" spans="1:22" ht="15" customHeight="1">
      <c r="A48" s="7" t="s">
        <v>77</v>
      </c>
      <c r="B48" s="76">
        <f>C48+G48+K48+O48</f>
        <v>11473700</v>
      </c>
      <c r="C48" s="99">
        <f>D48+E48+F48</f>
        <v>0</v>
      </c>
      <c r="D48" s="133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11473700</v>
      </c>
      <c r="L48" s="79">
        <v>0</v>
      </c>
      <c r="M48" s="79">
        <v>0</v>
      </c>
      <c r="N48" s="79">
        <v>11473700</v>
      </c>
      <c r="O48" s="99">
        <f>P48+Q48+R48</f>
        <v>0</v>
      </c>
      <c r="P48" s="79">
        <v>0</v>
      </c>
      <c r="Q48" s="79">
        <v>0</v>
      </c>
      <c r="R48" s="79"/>
      <c r="S48" s="100"/>
      <c r="T48" s="100">
        <f aca="true" t="shared" si="19" ref="T48:T53">B48-Q48-R48</f>
        <v>11473700</v>
      </c>
      <c r="U48" s="109"/>
      <c r="V48" s="109"/>
    </row>
    <row r="49" spans="1:22" ht="15" customHeight="1">
      <c r="A49" s="7" t="s">
        <v>71</v>
      </c>
      <c r="B49" s="76">
        <f>C49+G49+K49+O49</f>
        <v>1022500</v>
      </c>
      <c r="C49" s="99">
        <f>D49+E49+F49</f>
        <v>255700</v>
      </c>
      <c r="D49" s="133">
        <v>255700</v>
      </c>
      <c r="E49" s="79">
        <v>0</v>
      </c>
      <c r="F49" s="79">
        <v>0</v>
      </c>
      <c r="G49" s="99">
        <f>H49+I49+J49</f>
        <v>0</v>
      </c>
      <c r="H49" s="79">
        <v>0</v>
      </c>
      <c r="I49" s="79">
        <v>0</v>
      </c>
      <c r="J49" s="79">
        <v>0</v>
      </c>
      <c r="K49" s="99">
        <f>L49+M49+N49</f>
        <v>0</v>
      </c>
      <c r="L49" s="79">
        <v>0</v>
      </c>
      <c r="M49" s="79">
        <v>0</v>
      </c>
      <c r="N49" s="79">
        <v>0</v>
      </c>
      <c r="O49" s="99">
        <f>P49+Q49+R49</f>
        <v>766800</v>
      </c>
      <c r="P49" s="79">
        <v>0</v>
      </c>
      <c r="Q49" s="79">
        <v>0</v>
      </c>
      <c r="R49" s="79">
        <f>1025200-2700-255700</f>
        <v>766800</v>
      </c>
      <c r="S49" s="100"/>
      <c r="T49" s="100">
        <f t="shared" si="19"/>
        <v>255700</v>
      </c>
      <c r="U49" s="109"/>
      <c r="V49" s="109"/>
    </row>
    <row r="50" spans="1:22" ht="15" customHeight="1">
      <c r="A50" s="8" t="s">
        <v>76</v>
      </c>
      <c r="B50" s="76">
        <f>C50+G50+K50+O50</f>
        <v>443500</v>
      </c>
      <c r="C50" s="99">
        <f>D50+E50+F50</f>
        <v>116500</v>
      </c>
      <c r="D50" s="134">
        <v>11100</v>
      </c>
      <c r="E50" s="99">
        <v>35400</v>
      </c>
      <c r="F50" s="99">
        <v>70000</v>
      </c>
      <c r="G50" s="99">
        <f>H50+I50+J50</f>
        <v>100000</v>
      </c>
      <c r="H50" s="99">
        <v>10000</v>
      </c>
      <c r="I50" s="99">
        <v>30000</v>
      </c>
      <c r="J50" s="79">
        <v>60000</v>
      </c>
      <c r="K50" s="99">
        <f>L50+M50+N50</f>
        <v>88100</v>
      </c>
      <c r="L50" s="99">
        <v>0</v>
      </c>
      <c r="M50" s="99">
        <v>50000</v>
      </c>
      <c r="N50" s="99">
        <v>38100</v>
      </c>
      <c r="O50" s="99">
        <f>P50+Q50+R50</f>
        <v>138900</v>
      </c>
      <c r="P50" s="99">
        <v>60000</v>
      </c>
      <c r="Q50" s="99">
        <v>30000</v>
      </c>
      <c r="R50" s="79">
        <f>60000-11100</f>
        <v>48900</v>
      </c>
      <c r="S50" s="100">
        <f>O50+K50+G50+C50</f>
        <v>443500</v>
      </c>
      <c r="T50" s="100">
        <f t="shared" si="19"/>
        <v>364600</v>
      </c>
      <c r="U50" s="109"/>
      <c r="V50" s="109"/>
    </row>
    <row r="51" spans="1:22" ht="15" customHeight="1">
      <c r="A51" s="8" t="s">
        <v>69</v>
      </c>
      <c r="B51" s="76">
        <f>C51+G51+K51+O51</f>
        <v>7600</v>
      </c>
      <c r="C51" s="99">
        <v>0</v>
      </c>
      <c r="D51" s="134">
        <v>0</v>
      </c>
      <c r="E51" s="99">
        <v>0</v>
      </c>
      <c r="F51" s="99">
        <v>0</v>
      </c>
      <c r="G51" s="99">
        <f>H51+I51+J51</f>
        <v>7600</v>
      </c>
      <c r="H51" s="101">
        <f>0+7600</f>
        <v>7600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f>7600-7600</f>
        <v>0</v>
      </c>
      <c r="S51" s="100">
        <f>O51+K51+G51+C51</f>
        <v>7600</v>
      </c>
      <c r="T51" s="100">
        <f t="shared" si="19"/>
        <v>7600</v>
      </c>
      <c r="U51" s="109"/>
      <c r="V51" s="109"/>
    </row>
    <row r="52" spans="1:22" ht="27" customHeight="1">
      <c r="A52" s="61" t="s">
        <v>70</v>
      </c>
      <c r="B52" s="76">
        <f>C52+G52+K52+O52</f>
        <v>0</v>
      </c>
      <c r="C52" s="99">
        <f>D52+E52+F52</f>
        <v>0</v>
      </c>
      <c r="D52" s="135">
        <v>0</v>
      </c>
      <c r="E52" s="99">
        <v>0</v>
      </c>
      <c r="F52" s="99">
        <v>0</v>
      </c>
      <c r="G52" s="99">
        <f>H52+I52+J52</f>
        <v>0</v>
      </c>
      <c r="H52" s="101">
        <v>0</v>
      </c>
      <c r="I52" s="101">
        <v>0</v>
      </c>
      <c r="J52" s="101">
        <v>0</v>
      </c>
      <c r="K52" s="99">
        <f>L52+M52+N52</f>
        <v>0</v>
      </c>
      <c r="L52" s="101">
        <v>0</v>
      </c>
      <c r="M52" s="101">
        <v>0</v>
      </c>
      <c r="N52" s="101">
        <v>0</v>
      </c>
      <c r="O52" s="99">
        <f>P52+Q52+R52</f>
        <v>0</v>
      </c>
      <c r="P52" s="101">
        <v>0</v>
      </c>
      <c r="Q52" s="101">
        <v>0</v>
      </c>
      <c r="R52" s="79">
        <v>0</v>
      </c>
      <c r="S52" s="100">
        <f>O52+K52+G52+C52</f>
        <v>0</v>
      </c>
      <c r="T52" s="100">
        <f t="shared" si="19"/>
        <v>0</v>
      </c>
      <c r="U52" s="109"/>
      <c r="V52" s="109"/>
    </row>
    <row r="53" spans="1:20" s="107" customFormat="1" ht="26.25" customHeight="1">
      <c r="A53" s="45" t="s">
        <v>67</v>
      </c>
      <c r="B53" s="102">
        <f aca="true" t="shared" si="20" ref="B53:R53">B54+B55+B56</f>
        <v>0</v>
      </c>
      <c r="C53" s="102">
        <f t="shared" si="20"/>
        <v>0</v>
      </c>
      <c r="D53" s="102">
        <f t="shared" si="20"/>
        <v>0</v>
      </c>
      <c r="E53" s="102">
        <f t="shared" si="20"/>
        <v>0</v>
      </c>
      <c r="F53" s="102">
        <f t="shared" si="20"/>
        <v>0</v>
      </c>
      <c r="G53" s="102">
        <f t="shared" si="20"/>
        <v>0</v>
      </c>
      <c r="H53" s="102">
        <f t="shared" si="20"/>
        <v>0</v>
      </c>
      <c r="I53" s="102">
        <f t="shared" si="20"/>
        <v>0</v>
      </c>
      <c r="J53" s="102">
        <f t="shared" si="20"/>
        <v>0</v>
      </c>
      <c r="K53" s="102">
        <f t="shared" si="20"/>
        <v>0</v>
      </c>
      <c r="L53" s="102">
        <f t="shared" si="20"/>
        <v>0</v>
      </c>
      <c r="M53" s="102">
        <f t="shared" si="20"/>
        <v>0</v>
      </c>
      <c r="N53" s="102">
        <f t="shared" si="20"/>
        <v>0</v>
      </c>
      <c r="O53" s="102">
        <f t="shared" si="20"/>
        <v>0</v>
      </c>
      <c r="P53" s="102">
        <f t="shared" si="20"/>
        <v>0</v>
      </c>
      <c r="Q53" s="102">
        <f t="shared" si="20"/>
        <v>0</v>
      </c>
      <c r="R53" s="94">
        <f t="shared" si="20"/>
        <v>0</v>
      </c>
      <c r="S53" s="103">
        <f>O53+K53+G53+C53</f>
        <v>0</v>
      </c>
      <c r="T53" s="103">
        <f t="shared" si="19"/>
        <v>0</v>
      </c>
    </row>
    <row r="54" spans="1:20" s="107" customFormat="1" ht="15.75" customHeight="1">
      <c r="A54" s="62" t="s">
        <v>66</v>
      </c>
      <c r="B54" s="101">
        <f>C54+G54+K54+O54</f>
        <v>0</v>
      </c>
      <c r="C54" s="101">
        <f>D54+E54+F54</f>
        <v>0</v>
      </c>
      <c r="D54" s="135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5" customHeight="1">
      <c r="A55" s="62" t="s">
        <v>65</v>
      </c>
      <c r="B55" s="101">
        <f>C55+G55+K55+O55</f>
        <v>0</v>
      </c>
      <c r="C55" s="101">
        <f>D55+E55+F55</f>
        <v>0</v>
      </c>
      <c r="D55" s="135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13.5" customHeight="1">
      <c r="A56" s="62" t="s">
        <v>64</v>
      </c>
      <c r="B56" s="101">
        <f>C56+G56+K56+O56</f>
        <v>0</v>
      </c>
      <c r="C56" s="101">
        <f>D56+E56+F56</f>
        <v>0</v>
      </c>
      <c r="D56" s="135">
        <v>0</v>
      </c>
      <c r="E56" s="101">
        <v>0</v>
      </c>
      <c r="F56" s="101">
        <v>0</v>
      </c>
      <c r="G56" s="101">
        <f>H56+I56+J56</f>
        <v>0</v>
      </c>
      <c r="H56" s="101">
        <v>0</v>
      </c>
      <c r="I56" s="101">
        <v>0</v>
      </c>
      <c r="J56" s="101">
        <v>0</v>
      </c>
      <c r="K56" s="79">
        <f>L56+M56+N56</f>
        <v>0</v>
      </c>
      <c r="L56" s="101">
        <v>0</v>
      </c>
      <c r="M56" s="101">
        <v>0</v>
      </c>
      <c r="N56" s="101">
        <v>0</v>
      </c>
      <c r="O56" s="101">
        <f>P56+Q56+R56</f>
        <v>0</v>
      </c>
      <c r="P56" s="101">
        <v>0</v>
      </c>
      <c r="Q56" s="101">
        <v>0</v>
      </c>
      <c r="R56" s="79">
        <v>0</v>
      </c>
      <c r="S56" s="103"/>
      <c r="T56" s="103"/>
    </row>
    <row r="57" spans="1:20" s="107" customFormat="1" ht="27" customHeight="1">
      <c r="A57" s="48" t="s">
        <v>63</v>
      </c>
      <c r="B57" s="104">
        <f>C57+G57+K57+O57</f>
        <v>0</v>
      </c>
      <c r="C57" s="104">
        <f>D57+E57+F57</f>
        <v>0</v>
      </c>
      <c r="D57" s="104">
        <v>0</v>
      </c>
      <c r="E57" s="104">
        <v>0</v>
      </c>
      <c r="F57" s="104">
        <v>0</v>
      </c>
      <c r="G57" s="104">
        <f>H57+I57+J57</f>
        <v>0</v>
      </c>
      <c r="H57" s="104">
        <v>0</v>
      </c>
      <c r="I57" s="104">
        <v>0</v>
      </c>
      <c r="J57" s="104">
        <v>0</v>
      </c>
      <c r="K57" s="105">
        <f>L57+M57+N57</f>
        <v>0</v>
      </c>
      <c r="L57" s="104">
        <v>0</v>
      </c>
      <c r="M57" s="104">
        <v>0</v>
      </c>
      <c r="N57" s="104">
        <v>0</v>
      </c>
      <c r="O57" s="104">
        <f>P57+Q57+R57</f>
        <v>0</v>
      </c>
      <c r="P57" s="104">
        <v>0</v>
      </c>
      <c r="Q57" s="104">
        <v>0</v>
      </c>
      <c r="R57" s="94">
        <v>0</v>
      </c>
      <c r="S57" s="100">
        <f>O57+K57+G57+C57</f>
        <v>0</v>
      </c>
      <c r="T57" s="100">
        <f>B57-Q57-R57</f>
        <v>0</v>
      </c>
    </row>
    <row r="58" spans="1:22" ht="19.5" customHeight="1">
      <c r="A58" s="51" t="s">
        <v>57</v>
      </c>
      <c r="B58" s="83">
        <f aca="true" t="shared" si="21" ref="B58:R58">B46+B6</f>
        <v>63228000</v>
      </c>
      <c r="C58" s="83">
        <f t="shared" si="21"/>
        <v>9146280</v>
      </c>
      <c r="D58" s="83">
        <f>D46+D6</f>
        <v>3417709</v>
      </c>
      <c r="E58" s="83">
        <f t="shared" si="21"/>
        <v>2174681</v>
      </c>
      <c r="F58" s="83">
        <f t="shared" si="21"/>
        <v>3517381</v>
      </c>
      <c r="G58" s="83">
        <f t="shared" si="21"/>
        <v>10720943</v>
      </c>
      <c r="H58" s="83">
        <f t="shared" si="21"/>
        <v>4593981</v>
      </c>
      <c r="I58" s="83">
        <f t="shared" si="21"/>
        <v>2869581</v>
      </c>
      <c r="J58" s="83">
        <f t="shared" si="21"/>
        <v>3257381</v>
      </c>
      <c r="K58" s="83">
        <f t="shared" si="21"/>
        <v>22741843</v>
      </c>
      <c r="L58" s="83">
        <f t="shared" si="21"/>
        <v>3709781</v>
      </c>
      <c r="M58" s="83">
        <f t="shared" si="21"/>
        <v>3489781</v>
      </c>
      <c r="N58" s="83">
        <f t="shared" si="21"/>
        <v>15542281</v>
      </c>
      <c r="O58" s="83">
        <f t="shared" si="21"/>
        <v>20655443</v>
      </c>
      <c r="P58" s="83">
        <f t="shared" si="21"/>
        <v>5419781</v>
      </c>
      <c r="Q58" s="83">
        <f t="shared" si="21"/>
        <v>6987781</v>
      </c>
      <c r="R58" s="83">
        <f t="shared" si="21"/>
        <v>8247881</v>
      </c>
      <c r="S58" s="106">
        <f>S6+S46</f>
        <v>36007995</v>
      </c>
      <c r="T58" s="106">
        <f>T6+T46</f>
        <v>47992338</v>
      </c>
      <c r="U58" s="108"/>
      <c r="V58" s="109"/>
    </row>
    <row r="59" spans="1:22" ht="56.25" customHeight="1">
      <c r="A59" s="147" t="s">
        <v>74</v>
      </c>
      <c r="B59" s="148"/>
      <c r="C59" s="148"/>
      <c r="D59" s="136"/>
      <c r="E59" s="124"/>
      <c r="F59" s="125"/>
      <c r="G59" s="126"/>
      <c r="H59" s="126"/>
      <c r="I59" s="125" t="s">
        <v>75</v>
      </c>
      <c r="J59" s="126"/>
      <c r="K59" s="127"/>
      <c r="L59" s="128"/>
      <c r="M59" s="126"/>
      <c r="N59" s="126"/>
      <c r="O59" s="126"/>
      <c r="P59" s="128"/>
      <c r="Q59" s="128"/>
      <c r="R59" s="126"/>
      <c r="S59" s="15">
        <f>B59-R59</f>
        <v>0</v>
      </c>
      <c r="T59" s="15"/>
      <c r="U59" s="108"/>
      <c r="V59" s="109"/>
    </row>
    <row r="60" spans="1:20" ht="40.5" customHeight="1">
      <c r="A60" s="17" t="s">
        <v>73</v>
      </c>
      <c r="B60" s="18"/>
      <c r="C60" s="17"/>
      <c r="D60" s="25"/>
      <c r="P60" s="17"/>
      <c r="Q60" s="17"/>
      <c r="S60" s="15">
        <f>B60-R60</f>
        <v>0</v>
      </c>
      <c r="T60" s="15"/>
    </row>
    <row r="61" spans="1:20" ht="40.5" customHeight="1">
      <c r="A61" s="27"/>
      <c r="B61" s="19"/>
      <c r="C61" s="16"/>
      <c r="D61" s="27"/>
      <c r="E61" s="16"/>
      <c r="F61" s="16"/>
      <c r="S61" s="15" t="e">
        <f>#REF!-R61</f>
        <v>#REF!</v>
      </c>
      <c r="T61" s="15"/>
    </row>
    <row r="62" spans="1:20" ht="12.75">
      <c r="A62" s="27"/>
      <c r="B62" s="19"/>
      <c r="C62" s="19"/>
      <c r="D62" s="19"/>
      <c r="E62" s="19"/>
      <c r="F62" s="19"/>
      <c r="G62" s="25"/>
      <c r="H62" s="25"/>
      <c r="I62" s="25"/>
      <c r="S62" s="15">
        <f>B61-R62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>
        <f>B63-R63</f>
        <v>0</v>
      </c>
      <c r="T63" s="15"/>
    </row>
    <row r="64" spans="1:20" ht="12.75" customHeight="1">
      <c r="A64" s="28"/>
      <c r="B64" s="29"/>
      <c r="C64" s="29"/>
      <c r="D64" s="29"/>
      <c r="E64" s="29"/>
      <c r="F64" s="29"/>
      <c r="G64" s="26"/>
      <c r="H64" s="26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15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7" ht="12.75">
      <c r="E107" s="3" t="s">
        <v>29</v>
      </c>
    </row>
  </sheetData>
  <sheetProtection/>
  <mergeCells count="5">
    <mergeCell ref="A2:R2"/>
    <mergeCell ref="A4:A5"/>
    <mergeCell ref="B4:B5"/>
    <mergeCell ref="D4:R4"/>
    <mergeCell ref="A59:C59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47" sqref="B47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107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1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137" t="s">
        <v>3</v>
      </c>
      <c r="E5" s="5" t="s">
        <v>4</v>
      </c>
      <c r="F5" s="5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49570800</v>
      </c>
      <c r="C6" s="77">
        <f aca="true" t="shared" si="0" ref="C6:R6">C11+C16+C17+C18+C21+C22+C23+C25+C26+C27+C28+C31+C34+C37+C44</f>
        <v>8774080</v>
      </c>
      <c r="D6" s="77">
        <f>D11+D16+D17+D18+D19+D20+D23+D37</f>
        <v>3150909</v>
      </c>
      <c r="E6" s="77">
        <f t="shared" si="0"/>
        <v>2139281</v>
      </c>
      <c r="F6" s="77">
        <f t="shared" si="0"/>
        <v>3447381</v>
      </c>
      <c r="G6" s="77">
        <f t="shared" si="0"/>
        <v>10613343</v>
      </c>
      <c r="H6" s="77">
        <f>H11+H16+H17+H18+H21+H22+H23+H25+H26+H27+H28+H31+H34+H37+H44</f>
        <v>4576381</v>
      </c>
      <c r="I6" s="77">
        <f t="shared" si="0"/>
        <v>2839581</v>
      </c>
      <c r="J6" s="77">
        <f t="shared" si="0"/>
        <v>3197381</v>
      </c>
      <c r="K6" s="77">
        <f t="shared" si="0"/>
        <v>11180043</v>
      </c>
      <c r="L6" s="77">
        <f t="shared" si="0"/>
        <v>3709781</v>
      </c>
      <c r="M6" s="77">
        <f t="shared" si="0"/>
        <v>3439781</v>
      </c>
      <c r="N6" s="77">
        <f>N11+N16+N17+N18+N21+N22+N23+N25+N26+N27+N28+N31+N34+N37+N44</f>
        <v>4045481</v>
      </c>
      <c r="O6" s="77">
        <f t="shared" si="0"/>
        <v>19039843</v>
      </c>
      <c r="P6" s="77">
        <f t="shared" si="0"/>
        <v>5359781</v>
      </c>
      <c r="Q6" s="77">
        <f t="shared" si="0"/>
        <v>6957781</v>
      </c>
      <c r="R6" s="98">
        <f t="shared" si="0"/>
        <v>6722281</v>
      </c>
      <c r="S6" s="64">
        <f aca="true" t="shared" si="1" ref="S6:S22">D6+E6+F6+H6+I6+J6+L6</f>
        <v>23060695</v>
      </c>
      <c r="T6" s="65">
        <f aca="true" t="shared" si="2" ref="T6:T22">B6-Q6-R6</f>
        <v>35890738</v>
      </c>
      <c r="U6" s="66"/>
    </row>
    <row r="7" spans="1:21" ht="15" customHeight="1">
      <c r="A7" s="6" t="s">
        <v>19</v>
      </c>
      <c r="B7" s="76">
        <f>C7+G7+K7+O7</f>
        <v>18003000</v>
      </c>
      <c r="C7" s="76">
        <f>SUM(D7:F7)</f>
        <v>3460000</v>
      </c>
      <c r="D7" s="130">
        <f>1100000-240000</f>
        <v>860000</v>
      </c>
      <c r="E7" s="78">
        <v>1100000</v>
      </c>
      <c r="F7" s="78">
        <v>1500000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5243000</v>
      </c>
      <c r="P7" s="78">
        <v>1500000</v>
      </c>
      <c r="Q7" s="78">
        <v>1500000</v>
      </c>
      <c r="R7" s="76">
        <f>2003000+240000</f>
        <v>2243000</v>
      </c>
      <c r="S7" s="64">
        <f t="shared" si="1"/>
        <v>9660000</v>
      </c>
      <c r="T7" s="65">
        <f t="shared" si="2"/>
        <v>14260000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500</v>
      </c>
      <c r="D8" s="91">
        <v>0</v>
      </c>
      <c r="E8" s="80">
        <v>0</v>
      </c>
      <c r="F8" s="80">
        <v>500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61100</v>
      </c>
      <c r="P8" s="80">
        <f>17400-17400</f>
        <v>0</v>
      </c>
      <c r="Q8" s="80">
        <v>0</v>
      </c>
      <c r="R8" s="76">
        <v>61100</v>
      </c>
      <c r="S8" s="64">
        <f t="shared" si="1"/>
        <v>1000</v>
      </c>
      <c r="T8" s="65">
        <f t="shared" si="2"/>
        <v>1500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101800</v>
      </c>
      <c r="D9" s="91">
        <v>1800</v>
      </c>
      <c r="E9" s="80">
        <v>0</v>
      </c>
      <c r="F9" s="80">
        <v>100000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243800</v>
      </c>
      <c r="P9" s="80">
        <v>0</v>
      </c>
      <c r="Q9" s="80">
        <v>0</v>
      </c>
      <c r="R9" s="76">
        <f>170000+75600-1800</f>
        <v>243800</v>
      </c>
      <c r="S9" s="64">
        <f t="shared" si="1"/>
        <v>271800</v>
      </c>
      <c r="T9" s="65">
        <f t="shared" si="2"/>
        <v>451800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21700</v>
      </c>
      <c r="D10" s="91">
        <v>6700</v>
      </c>
      <c r="E10" s="80">
        <v>0</v>
      </c>
      <c r="F10" s="80">
        <v>15000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v>15000</v>
      </c>
      <c r="L10" s="80">
        <v>0</v>
      </c>
      <c r="M10" s="80">
        <v>0</v>
      </c>
      <c r="N10" s="80">
        <v>30000</v>
      </c>
      <c r="O10" s="79">
        <f>P10+Q10+R10</f>
        <v>66700</v>
      </c>
      <c r="P10" s="80">
        <v>0</v>
      </c>
      <c r="Q10" s="80">
        <v>0</v>
      </c>
      <c r="R10" s="76">
        <f>73400-6700</f>
        <v>66700</v>
      </c>
      <c r="S10" s="64">
        <f t="shared" si="1"/>
        <v>36700</v>
      </c>
      <c r="T10" s="65">
        <f t="shared" si="2"/>
        <v>51700</v>
      </c>
      <c r="U10" s="66"/>
    </row>
    <row r="11" spans="1:21" ht="12.75" customHeight="1">
      <c r="A11" s="36" t="s">
        <v>22</v>
      </c>
      <c r="B11" s="81">
        <f>SUM(B7:B10)</f>
        <v>18879600</v>
      </c>
      <c r="C11" s="81">
        <f aca="true" t="shared" si="3" ref="C11:R11">SUM(C7:C10)</f>
        <v>3584000</v>
      </c>
      <c r="D11" s="81">
        <f>SUM(D7:D10)</f>
        <v>868500</v>
      </c>
      <c r="E11" s="81">
        <f t="shared" si="3"/>
        <v>1100000</v>
      </c>
      <c r="F11" s="81">
        <f t="shared" si="3"/>
        <v>1615500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1710500</v>
      </c>
      <c r="O11" s="83">
        <f t="shared" si="3"/>
        <v>5614600</v>
      </c>
      <c r="P11" s="81">
        <f t="shared" si="3"/>
        <v>1500000</v>
      </c>
      <c r="Q11" s="81">
        <f t="shared" si="3"/>
        <v>1500000</v>
      </c>
      <c r="R11" s="83">
        <f t="shared" si="3"/>
        <v>2614600</v>
      </c>
      <c r="S11" s="67">
        <f t="shared" si="1"/>
        <v>9969500</v>
      </c>
      <c r="T11" s="68">
        <f t="shared" si="2"/>
        <v>14765000</v>
      </c>
      <c r="U11" s="66"/>
    </row>
    <row r="12" spans="1:21" ht="12.75" customHeight="1">
      <c r="A12" s="7" t="s">
        <v>78</v>
      </c>
      <c r="B12" s="80">
        <f>C12+G12+K12+O12</f>
        <v>2983700</v>
      </c>
      <c r="C12" s="80">
        <f>D12+E12+F12</f>
        <v>710300</v>
      </c>
      <c r="D12" s="91">
        <f>250000+110300</f>
        <v>360300</v>
      </c>
      <c r="E12" s="80">
        <v>100000</v>
      </c>
      <c r="F12" s="80">
        <v>250000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573400</v>
      </c>
      <c r="P12" s="80">
        <v>250000</v>
      </c>
      <c r="Q12" s="80">
        <v>250000</v>
      </c>
      <c r="R12" s="76">
        <f>150000+33700-110300</f>
        <v>73400</v>
      </c>
      <c r="S12" s="64">
        <f t="shared" si="1"/>
        <v>1810300</v>
      </c>
      <c r="T12" s="65">
        <f t="shared" si="2"/>
        <v>2660300</v>
      </c>
      <c r="U12" s="66"/>
    </row>
    <row r="13" spans="1:21" ht="12.75" customHeight="1">
      <c r="A13" s="7" t="s">
        <v>79</v>
      </c>
      <c r="B13" s="80">
        <f>C13+G13+K13+O13</f>
        <v>29600</v>
      </c>
      <c r="C13" s="80">
        <f>D13+E13+F13</f>
        <v>6200</v>
      </c>
      <c r="D13" s="91">
        <f>1800+800</f>
        <v>2600</v>
      </c>
      <c r="E13" s="80">
        <v>1800</v>
      </c>
      <c r="F13" s="80">
        <v>1800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7000</v>
      </c>
      <c r="P13" s="80">
        <v>2000</v>
      </c>
      <c r="Q13" s="80">
        <v>2000</v>
      </c>
      <c r="R13" s="76">
        <f>3800-800</f>
        <v>3000</v>
      </c>
      <c r="S13" s="64">
        <f t="shared" si="1"/>
        <v>13600</v>
      </c>
      <c r="T13" s="65">
        <f t="shared" si="2"/>
        <v>24600</v>
      </c>
      <c r="U13" s="66"/>
    </row>
    <row r="14" spans="1:21" ht="12.75" customHeight="1">
      <c r="A14" s="7" t="s">
        <v>80</v>
      </c>
      <c r="B14" s="80">
        <f>C14+G14+K14+O14</f>
        <v>3568900</v>
      </c>
      <c r="C14" s="80">
        <f>D14+E14+F14</f>
        <v>1142000</v>
      </c>
      <c r="D14" s="91">
        <f>150000+392000</f>
        <v>542000</v>
      </c>
      <c r="E14" s="80">
        <v>150000</v>
      </c>
      <c r="F14" s="80">
        <v>450000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508000</v>
      </c>
      <c r="P14" s="80">
        <v>300000</v>
      </c>
      <c r="Q14" s="80">
        <f>300000-92000</f>
        <v>208000</v>
      </c>
      <c r="R14" s="76">
        <f>300000-300000</f>
        <v>0</v>
      </c>
      <c r="S14" s="64">
        <f t="shared" si="1"/>
        <v>2342000</v>
      </c>
      <c r="T14" s="65">
        <f t="shared" si="2"/>
        <v>3360900</v>
      </c>
      <c r="U14" s="66"/>
    </row>
    <row r="15" spans="1:21" ht="12.75" customHeight="1">
      <c r="A15" s="7" t="s">
        <v>81</v>
      </c>
      <c r="B15" s="80">
        <f>C15+G15+K15+O15</f>
        <v>0</v>
      </c>
      <c r="C15" s="80">
        <f>D15+E15+F15</f>
        <v>0</v>
      </c>
      <c r="D15" s="91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1858500</v>
      </c>
      <c r="D16" s="82">
        <f>D15+D14+D13+D12</f>
        <v>904900</v>
      </c>
      <c r="E16" s="82">
        <f t="shared" si="4"/>
        <v>251800</v>
      </c>
      <c r="F16" s="82">
        <f t="shared" si="4"/>
        <v>701800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1088400</v>
      </c>
      <c r="P16" s="82">
        <f t="shared" si="4"/>
        <v>552000</v>
      </c>
      <c r="Q16" s="82">
        <f t="shared" si="4"/>
        <v>460000</v>
      </c>
      <c r="R16" s="93">
        <f t="shared" si="4"/>
        <v>76400</v>
      </c>
      <c r="S16" s="67">
        <f t="shared" si="1"/>
        <v>4165900</v>
      </c>
      <c r="T16" s="68">
        <f t="shared" si="2"/>
        <v>6045800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67200</v>
      </c>
      <c r="D17" s="131">
        <v>67200</v>
      </c>
      <c r="E17" s="84">
        <v>0</v>
      </c>
      <c r="F17" s="84">
        <v>0</v>
      </c>
      <c r="G17" s="85">
        <f>H17+I17+J17</f>
        <v>1782800</v>
      </c>
      <c r="H17" s="84">
        <f>1850000-67200</f>
        <v>1782800</v>
      </c>
      <c r="I17" s="84">
        <v>0</v>
      </c>
      <c r="J17" s="85">
        <v>0</v>
      </c>
      <c r="K17" s="86">
        <f>L17+M17+N17</f>
        <v>900000</v>
      </c>
      <c r="L17" s="84">
        <v>900000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111800</v>
      </c>
      <c r="D18" s="95">
        <f>20000+71800</f>
        <v>91800</v>
      </c>
      <c r="E18" s="87">
        <v>10000</v>
      </c>
      <c r="F18" s="87">
        <v>10000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3438200</v>
      </c>
      <c r="P18" s="87">
        <v>500000</v>
      </c>
      <c r="Q18" s="87">
        <v>1500000</v>
      </c>
      <c r="R18" s="88">
        <f>1510000-71800</f>
        <v>1438200</v>
      </c>
      <c r="S18" s="69">
        <f t="shared" si="1"/>
        <v>261800</v>
      </c>
      <c r="T18" s="70">
        <f t="shared" si="2"/>
        <v>1261800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2400000</v>
      </c>
      <c r="D19" s="132">
        <f>400000+520300</f>
        <v>920300</v>
      </c>
      <c r="E19" s="118">
        <f>1100000-520300</f>
        <v>579700</v>
      </c>
      <c r="F19" s="118">
        <v>900000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800000</v>
      </c>
      <c r="P19" s="118">
        <v>300000</v>
      </c>
      <c r="Q19" s="118">
        <v>400000</v>
      </c>
      <c r="R19" s="119">
        <v>100000</v>
      </c>
      <c r="S19" s="120">
        <f t="shared" si="1"/>
        <v>4020000</v>
      </c>
      <c r="T19" s="121">
        <f t="shared" si="2"/>
        <v>4700000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460700</v>
      </c>
      <c r="D20" s="91">
        <f>200000+60700</f>
        <v>260700</v>
      </c>
      <c r="E20" s="80">
        <v>100000</v>
      </c>
      <c r="F20" s="80">
        <v>100000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5839300</v>
      </c>
      <c r="P20" s="80">
        <f>2400000</f>
        <v>2400000</v>
      </c>
      <c r="Q20" s="80">
        <v>3000000</v>
      </c>
      <c r="R20" s="76">
        <f>500000-60700</f>
        <v>439300</v>
      </c>
      <c r="S20" s="64">
        <f t="shared" si="1"/>
        <v>1160700</v>
      </c>
      <c r="T20" s="65">
        <f t="shared" si="2"/>
        <v>5260700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2860700</v>
      </c>
      <c r="D21" s="90">
        <f>D20+D19</f>
        <v>1181000</v>
      </c>
      <c r="E21" s="90">
        <f t="shared" si="5"/>
        <v>679700</v>
      </c>
      <c r="F21" s="90">
        <f t="shared" si="5"/>
        <v>1000000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6639300</v>
      </c>
      <c r="P21" s="90">
        <f t="shared" si="5"/>
        <v>2700000</v>
      </c>
      <c r="Q21" s="90">
        <f t="shared" si="5"/>
        <v>3400000</v>
      </c>
      <c r="R21" s="115">
        <f t="shared" si="5"/>
        <v>539300</v>
      </c>
      <c r="S21" s="69">
        <f t="shared" si="1"/>
        <v>5180700</v>
      </c>
      <c r="T21" s="70">
        <f t="shared" si="2"/>
        <v>9960700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58809</v>
      </c>
      <c r="D23" s="92">
        <f>D25</f>
        <v>36509</v>
      </c>
      <c r="E23" s="92">
        <f aca="true" t="shared" si="7" ref="E23:R23">E24</f>
        <v>0</v>
      </c>
      <c r="F23" s="92">
        <f t="shared" si="7"/>
        <v>22300</v>
      </c>
      <c r="G23" s="92">
        <f t="shared" si="7"/>
        <v>22300</v>
      </c>
      <c r="H23" s="92">
        <f t="shared" si="7"/>
        <v>0</v>
      </c>
      <c r="I23" s="92">
        <f t="shared" si="7"/>
        <v>0</v>
      </c>
      <c r="J23" s="92">
        <f t="shared" si="7"/>
        <v>22300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22300</v>
      </c>
      <c r="D24" s="91">
        <v>0</v>
      </c>
      <c r="E24" s="80">
        <v>0</v>
      </c>
      <c r="F24" s="80">
        <v>22300</v>
      </c>
      <c r="G24" s="79">
        <f>H24+I24+J24</f>
        <v>22300</v>
      </c>
      <c r="H24" s="80">
        <v>0</v>
      </c>
      <c r="I24" s="80">
        <v>0</v>
      </c>
      <c r="J24" s="80">
        <v>22300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232071</v>
      </c>
      <c r="D25" s="82">
        <f>97409-60900</f>
        <v>36509</v>
      </c>
      <c r="E25" s="82">
        <v>97781</v>
      </c>
      <c r="F25" s="82">
        <v>97781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354243</v>
      </c>
      <c r="P25" s="82">
        <v>97781</v>
      </c>
      <c r="Q25" s="82">
        <v>97781</v>
      </c>
      <c r="R25" s="93">
        <f>97781+60900</f>
        <v>158681</v>
      </c>
      <c r="S25" s="64"/>
      <c r="T25" s="65">
        <f>B25-Q25-R25</f>
        <v>916538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91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91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1862800</v>
      </c>
      <c r="P31" s="82">
        <f t="shared" si="9"/>
        <v>0</v>
      </c>
      <c r="Q31" s="82">
        <f t="shared" si="9"/>
        <v>0</v>
      </c>
      <c r="R31" s="93">
        <f t="shared" si="9"/>
        <v>1862800</v>
      </c>
      <c r="S31" s="69">
        <f>D31+E31+F31+H31+I31+J31+L31</f>
        <v>0</v>
      </c>
      <c r="T31" s="70">
        <f>B31-Q31-R31</f>
        <v>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91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0</v>
      </c>
      <c r="D33" s="91">
        <v>0</v>
      </c>
      <c r="E33" s="80">
        <v>0</v>
      </c>
      <c r="F33" s="80">
        <v>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1862800</v>
      </c>
      <c r="P33" s="80">
        <v>0</v>
      </c>
      <c r="Q33" s="80">
        <v>0</v>
      </c>
      <c r="R33" s="76">
        <v>1862800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91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91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1000</v>
      </c>
      <c r="D37" s="93">
        <f t="shared" si="11"/>
        <v>1000</v>
      </c>
      <c r="E37" s="93">
        <f t="shared" si="11"/>
        <v>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49000</v>
      </c>
      <c r="L37" s="93">
        <f t="shared" si="11"/>
        <v>0</v>
      </c>
      <c r="M37" s="93">
        <f t="shared" si="11"/>
        <v>40000</v>
      </c>
      <c r="N37" s="93">
        <f t="shared" si="11"/>
        <v>9000</v>
      </c>
      <c r="O37" s="93">
        <f t="shared" si="11"/>
        <v>10000</v>
      </c>
      <c r="P37" s="93">
        <f t="shared" si="11"/>
        <v>10000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11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1000</v>
      </c>
      <c r="D39" s="116">
        <v>1000</v>
      </c>
      <c r="E39" s="76">
        <v>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49000</v>
      </c>
      <c r="L39" s="76">
        <v>0</v>
      </c>
      <c r="M39" s="76">
        <v>40000</v>
      </c>
      <c r="N39" s="76">
        <f>10000-1000</f>
        <v>9000</v>
      </c>
      <c r="O39" s="76">
        <f t="shared" si="15"/>
        <v>10000</v>
      </c>
      <c r="P39" s="76">
        <v>10000</v>
      </c>
      <c r="Q39" s="76">
        <v>0</v>
      </c>
      <c r="R39" s="76">
        <v>0</v>
      </c>
      <c r="S39" s="64">
        <f>D39+E39+F39+H39+I39+J39+L39</f>
        <v>1000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11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11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11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11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>B47+B53+B57</f>
        <v>12947300</v>
      </c>
      <c r="C46" s="96">
        <f aca="true" t="shared" si="17" ref="C46:R46">C47+C53+C57</f>
        <v>372200</v>
      </c>
      <c r="D46" s="96">
        <f>D47+D53+D57</f>
        <v>266800</v>
      </c>
      <c r="E46" s="96">
        <f t="shared" si="17"/>
        <v>35400</v>
      </c>
      <c r="F46" s="96">
        <f t="shared" si="17"/>
        <v>70000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11561800</v>
      </c>
      <c r="L46" s="96">
        <f t="shared" si="17"/>
        <v>0</v>
      </c>
      <c r="M46" s="96">
        <f t="shared" si="17"/>
        <v>50000</v>
      </c>
      <c r="N46" s="96">
        <f>N47+N53+N57</f>
        <v>11511800</v>
      </c>
      <c r="O46" s="96">
        <f t="shared" si="17"/>
        <v>905700</v>
      </c>
      <c r="P46" s="96">
        <f t="shared" si="17"/>
        <v>60000</v>
      </c>
      <c r="Q46" s="96">
        <f t="shared" si="17"/>
        <v>30000</v>
      </c>
      <c r="R46" s="96">
        <f t="shared" si="17"/>
        <v>815700</v>
      </c>
      <c r="S46" s="97">
        <f>O46+K46+G46+C46</f>
        <v>12947300</v>
      </c>
      <c r="T46" s="97">
        <f>B46-Q46-R46</f>
        <v>12101600</v>
      </c>
      <c r="U46" s="108"/>
      <c r="V46" s="109"/>
    </row>
    <row r="47" spans="1:22" ht="21.75" customHeight="1">
      <c r="A47" s="50" t="s">
        <v>60</v>
      </c>
      <c r="B47" s="98">
        <f>B49+B50+B51+B48</f>
        <v>12947300</v>
      </c>
      <c r="C47" s="98">
        <f aca="true" t="shared" si="18" ref="C47:R47">C49+C50+C51</f>
        <v>372200</v>
      </c>
      <c r="D47" s="98">
        <f>D49+D50+D51</f>
        <v>266800</v>
      </c>
      <c r="E47" s="98">
        <f t="shared" si="18"/>
        <v>35400</v>
      </c>
      <c r="F47" s="98">
        <f t="shared" si="18"/>
        <v>70000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>K49+K50+K51+K48</f>
        <v>11561800</v>
      </c>
      <c r="L47" s="98">
        <f t="shared" si="18"/>
        <v>0</v>
      </c>
      <c r="M47" s="98">
        <f t="shared" si="18"/>
        <v>50000</v>
      </c>
      <c r="N47" s="98">
        <f>N49+N50+N51+N48</f>
        <v>11511800</v>
      </c>
      <c r="O47" s="98">
        <f t="shared" si="18"/>
        <v>905700</v>
      </c>
      <c r="P47" s="98">
        <f t="shared" si="18"/>
        <v>60000</v>
      </c>
      <c r="Q47" s="98">
        <f t="shared" si="18"/>
        <v>30000</v>
      </c>
      <c r="R47" s="98">
        <f t="shared" si="18"/>
        <v>815700</v>
      </c>
      <c r="S47" s="98" t="e">
        <f>#REF!+S49+#REF!+S50+S51+S52+#REF!</f>
        <v>#REF!</v>
      </c>
      <c r="T47" s="98" t="e">
        <f>#REF!+T49+#REF!+T50+T51+T52+#REF!</f>
        <v>#REF!</v>
      </c>
      <c r="U47" s="108"/>
      <c r="V47" s="109"/>
    </row>
    <row r="48" spans="1:22" ht="15" customHeight="1">
      <c r="A48" s="7" t="s">
        <v>77</v>
      </c>
      <c r="B48" s="76">
        <f>C48+G48+K48+O48</f>
        <v>11473700</v>
      </c>
      <c r="C48" s="99">
        <f>D48+E48+F48</f>
        <v>0</v>
      </c>
      <c r="D48" s="133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11473700</v>
      </c>
      <c r="L48" s="79">
        <v>0</v>
      </c>
      <c r="M48" s="79">
        <v>0</v>
      </c>
      <c r="N48" s="79">
        <v>11473700</v>
      </c>
      <c r="O48" s="99">
        <f>P48+Q48+R48</f>
        <v>0</v>
      </c>
      <c r="P48" s="79">
        <v>0</v>
      </c>
      <c r="Q48" s="79">
        <v>0</v>
      </c>
      <c r="R48" s="79"/>
      <c r="S48" s="100"/>
      <c r="T48" s="100">
        <f aca="true" t="shared" si="19" ref="T48:T53">B48-Q48-R48</f>
        <v>11473700</v>
      </c>
      <c r="U48" s="109"/>
      <c r="V48" s="109"/>
    </row>
    <row r="49" spans="1:22" ht="15" customHeight="1">
      <c r="A49" s="7" t="s">
        <v>71</v>
      </c>
      <c r="B49" s="76">
        <f>C49+G49+K49+O49</f>
        <v>1022500</v>
      </c>
      <c r="C49" s="99">
        <f>D49+E49+F49</f>
        <v>255700</v>
      </c>
      <c r="D49" s="133">
        <v>255700</v>
      </c>
      <c r="E49" s="79">
        <v>0</v>
      </c>
      <c r="F49" s="79">
        <v>0</v>
      </c>
      <c r="G49" s="99">
        <f>H49+I49+J49</f>
        <v>0</v>
      </c>
      <c r="H49" s="79">
        <v>0</v>
      </c>
      <c r="I49" s="79">
        <v>0</v>
      </c>
      <c r="J49" s="79">
        <v>0</v>
      </c>
      <c r="K49" s="99">
        <f>L49+M49+N49</f>
        <v>0</v>
      </c>
      <c r="L49" s="79">
        <v>0</v>
      </c>
      <c r="M49" s="79">
        <v>0</v>
      </c>
      <c r="N49" s="79">
        <v>0</v>
      </c>
      <c r="O49" s="99">
        <f>P49+Q49+R49</f>
        <v>766800</v>
      </c>
      <c r="P49" s="79">
        <v>0</v>
      </c>
      <c r="Q49" s="79">
        <v>0</v>
      </c>
      <c r="R49" s="79">
        <f>1025200-2700-255700</f>
        <v>766800</v>
      </c>
      <c r="S49" s="100"/>
      <c r="T49" s="100">
        <f t="shared" si="19"/>
        <v>255700</v>
      </c>
      <c r="U49" s="109"/>
      <c r="V49" s="109"/>
    </row>
    <row r="50" spans="1:22" ht="15" customHeight="1">
      <c r="A50" s="8" t="s">
        <v>76</v>
      </c>
      <c r="B50" s="76">
        <f>C50+G50+K50+O50</f>
        <v>443500</v>
      </c>
      <c r="C50" s="99">
        <f>D50+E50+F50</f>
        <v>116500</v>
      </c>
      <c r="D50" s="134">
        <v>11100</v>
      </c>
      <c r="E50" s="99">
        <v>35400</v>
      </c>
      <c r="F50" s="99">
        <v>70000</v>
      </c>
      <c r="G50" s="99">
        <f>H50+I50+J50</f>
        <v>100000</v>
      </c>
      <c r="H50" s="99">
        <v>10000</v>
      </c>
      <c r="I50" s="99">
        <v>30000</v>
      </c>
      <c r="J50" s="79">
        <v>60000</v>
      </c>
      <c r="K50" s="99">
        <f>L50+M50+N50</f>
        <v>88100</v>
      </c>
      <c r="L50" s="99">
        <v>0</v>
      </c>
      <c r="M50" s="99">
        <v>50000</v>
      </c>
      <c r="N50" s="99">
        <v>38100</v>
      </c>
      <c r="O50" s="99">
        <f>P50+Q50+R50</f>
        <v>138900</v>
      </c>
      <c r="P50" s="99">
        <v>60000</v>
      </c>
      <c r="Q50" s="99">
        <v>30000</v>
      </c>
      <c r="R50" s="79">
        <f>60000-11100</f>
        <v>48900</v>
      </c>
      <c r="S50" s="100">
        <f>O50+K50+G50+C50</f>
        <v>443500</v>
      </c>
      <c r="T50" s="100">
        <f t="shared" si="19"/>
        <v>364600</v>
      </c>
      <c r="U50" s="109"/>
      <c r="V50" s="109"/>
    </row>
    <row r="51" spans="1:22" ht="15" customHeight="1">
      <c r="A51" s="8" t="s">
        <v>69</v>
      </c>
      <c r="B51" s="76">
        <f>C51+G51+K51+O51</f>
        <v>7600</v>
      </c>
      <c r="C51" s="99">
        <v>0</v>
      </c>
      <c r="D51" s="134">
        <v>0</v>
      </c>
      <c r="E51" s="99">
        <v>0</v>
      </c>
      <c r="F51" s="99">
        <v>0</v>
      </c>
      <c r="G51" s="99">
        <f>H51+I51+J51</f>
        <v>7600</v>
      </c>
      <c r="H51" s="101">
        <f>0+7600</f>
        <v>7600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f>7600-7600</f>
        <v>0</v>
      </c>
      <c r="S51" s="100">
        <f>O51+K51+G51+C51</f>
        <v>7600</v>
      </c>
      <c r="T51" s="100">
        <f t="shared" si="19"/>
        <v>7600</v>
      </c>
      <c r="U51" s="109"/>
      <c r="V51" s="109"/>
    </row>
    <row r="52" spans="1:22" ht="27" customHeight="1">
      <c r="A52" s="61" t="s">
        <v>70</v>
      </c>
      <c r="B52" s="76">
        <f>C52+G52+K52+O52</f>
        <v>0</v>
      </c>
      <c r="C52" s="99">
        <f>D52+E52+F52</f>
        <v>0</v>
      </c>
      <c r="D52" s="135">
        <v>0</v>
      </c>
      <c r="E52" s="99">
        <v>0</v>
      </c>
      <c r="F52" s="99">
        <v>0</v>
      </c>
      <c r="G52" s="99">
        <f>H52+I52+J52</f>
        <v>0</v>
      </c>
      <c r="H52" s="101">
        <v>0</v>
      </c>
      <c r="I52" s="101">
        <v>0</v>
      </c>
      <c r="J52" s="101">
        <v>0</v>
      </c>
      <c r="K52" s="99">
        <f>L52+M52+N52</f>
        <v>0</v>
      </c>
      <c r="L52" s="101">
        <v>0</v>
      </c>
      <c r="M52" s="101">
        <v>0</v>
      </c>
      <c r="N52" s="101">
        <v>0</v>
      </c>
      <c r="O52" s="99">
        <f>P52+Q52+R52</f>
        <v>0</v>
      </c>
      <c r="P52" s="101">
        <v>0</v>
      </c>
      <c r="Q52" s="101">
        <v>0</v>
      </c>
      <c r="R52" s="79">
        <v>0</v>
      </c>
      <c r="S52" s="100">
        <f>O52+K52+G52+C52</f>
        <v>0</v>
      </c>
      <c r="T52" s="100">
        <f t="shared" si="19"/>
        <v>0</v>
      </c>
      <c r="U52" s="109"/>
      <c r="V52" s="109"/>
    </row>
    <row r="53" spans="1:20" s="107" customFormat="1" ht="26.25" customHeight="1">
      <c r="A53" s="45" t="s">
        <v>67</v>
      </c>
      <c r="B53" s="102">
        <f aca="true" t="shared" si="20" ref="B53:R53">B54+B55+B56</f>
        <v>0</v>
      </c>
      <c r="C53" s="102">
        <f t="shared" si="20"/>
        <v>0</v>
      </c>
      <c r="D53" s="102">
        <f t="shared" si="20"/>
        <v>0</v>
      </c>
      <c r="E53" s="102">
        <f t="shared" si="20"/>
        <v>0</v>
      </c>
      <c r="F53" s="102">
        <f t="shared" si="20"/>
        <v>0</v>
      </c>
      <c r="G53" s="102">
        <f t="shared" si="20"/>
        <v>0</v>
      </c>
      <c r="H53" s="102">
        <f t="shared" si="20"/>
        <v>0</v>
      </c>
      <c r="I53" s="102">
        <f t="shared" si="20"/>
        <v>0</v>
      </c>
      <c r="J53" s="102">
        <f t="shared" si="20"/>
        <v>0</v>
      </c>
      <c r="K53" s="102">
        <f t="shared" si="20"/>
        <v>0</v>
      </c>
      <c r="L53" s="102">
        <f t="shared" si="20"/>
        <v>0</v>
      </c>
      <c r="M53" s="102">
        <f t="shared" si="20"/>
        <v>0</v>
      </c>
      <c r="N53" s="102">
        <f t="shared" si="20"/>
        <v>0</v>
      </c>
      <c r="O53" s="102">
        <f t="shared" si="20"/>
        <v>0</v>
      </c>
      <c r="P53" s="102">
        <f t="shared" si="20"/>
        <v>0</v>
      </c>
      <c r="Q53" s="102">
        <f t="shared" si="20"/>
        <v>0</v>
      </c>
      <c r="R53" s="94">
        <f t="shared" si="20"/>
        <v>0</v>
      </c>
      <c r="S53" s="103">
        <f>O53+K53+G53+C53</f>
        <v>0</v>
      </c>
      <c r="T53" s="103">
        <f t="shared" si="19"/>
        <v>0</v>
      </c>
    </row>
    <row r="54" spans="1:20" s="107" customFormat="1" ht="15.75" customHeight="1">
      <c r="A54" s="62" t="s">
        <v>66</v>
      </c>
      <c r="B54" s="101">
        <f>C54+G54+K54+O54</f>
        <v>0</v>
      </c>
      <c r="C54" s="101">
        <f>D54+E54+F54</f>
        <v>0</v>
      </c>
      <c r="D54" s="135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5" customHeight="1">
      <c r="A55" s="62" t="s">
        <v>65</v>
      </c>
      <c r="B55" s="101">
        <f>C55+G55+K55+O55</f>
        <v>0</v>
      </c>
      <c r="C55" s="101">
        <f>D55+E55+F55</f>
        <v>0</v>
      </c>
      <c r="D55" s="135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13.5" customHeight="1">
      <c r="A56" s="62" t="s">
        <v>64</v>
      </c>
      <c r="B56" s="101">
        <f>C56+G56+K56+O56</f>
        <v>0</v>
      </c>
      <c r="C56" s="101">
        <f>D56+E56+F56</f>
        <v>0</v>
      </c>
      <c r="D56" s="135">
        <v>0</v>
      </c>
      <c r="E56" s="101">
        <v>0</v>
      </c>
      <c r="F56" s="101">
        <v>0</v>
      </c>
      <c r="G56" s="101">
        <f>H56+I56+J56</f>
        <v>0</v>
      </c>
      <c r="H56" s="101">
        <v>0</v>
      </c>
      <c r="I56" s="101">
        <v>0</v>
      </c>
      <c r="J56" s="101">
        <v>0</v>
      </c>
      <c r="K56" s="79">
        <f>L56+M56+N56</f>
        <v>0</v>
      </c>
      <c r="L56" s="101">
        <v>0</v>
      </c>
      <c r="M56" s="101">
        <v>0</v>
      </c>
      <c r="N56" s="101">
        <v>0</v>
      </c>
      <c r="O56" s="101">
        <f>P56+Q56+R56</f>
        <v>0</v>
      </c>
      <c r="P56" s="101">
        <v>0</v>
      </c>
      <c r="Q56" s="101">
        <v>0</v>
      </c>
      <c r="R56" s="79">
        <v>0</v>
      </c>
      <c r="S56" s="103"/>
      <c r="T56" s="103"/>
    </row>
    <row r="57" spans="1:20" s="107" customFormat="1" ht="27" customHeight="1">
      <c r="A57" s="48" t="s">
        <v>63</v>
      </c>
      <c r="B57" s="104">
        <f>C57+G57+K57+O57</f>
        <v>0</v>
      </c>
      <c r="C57" s="104">
        <f>D57+E57+F57</f>
        <v>0</v>
      </c>
      <c r="D57" s="104">
        <v>0</v>
      </c>
      <c r="E57" s="104">
        <v>0</v>
      </c>
      <c r="F57" s="104">
        <v>0</v>
      </c>
      <c r="G57" s="104">
        <f>H57+I57+J57</f>
        <v>0</v>
      </c>
      <c r="H57" s="104">
        <v>0</v>
      </c>
      <c r="I57" s="104">
        <v>0</v>
      </c>
      <c r="J57" s="104">
        <v>0</v>
      </c>
      <c r="K57" s="105">
        <f>L57+M57+N57</f>
        <v>0</v>
      </c>
      <c r="L57" s="104">
        <v>0</v>
      </c>
      <c r="M57" s="104">
        <v>0</v>
      </c>
      <c r="N57" s="104">
        <v>0</v>
      </c>
      <c r="O57" s="104">
        <f>P57+Q57+R57</f>
        <v>0</v>
      </c>
      <c r="P57" s="104">
        <v>0</v>
      </c>
      <c r="Q57" s="104">
        <v>0</v>
      </c>
      <c r="R57" s="94">
        <v>0</v>
      </c>
      <c r="S57" s="100">
        <f>O57+K57+G57+C57</f>
        <v>0</v>
      </c>
      <c r="T57" s="100">
        <f>B57-Q57-R57</f>
        <v>0</v>
      </c>
    </row>
    <row r="58" spans="1:22" ht="19.5" customHeight="1">
      <c r="A58" s="51" t="s">
        <v>57</v>
      </c>
      <c r="B58" s="83">
        <f aca="true" t="shared" si="21" ref="B58:R58">B46+B6</f>
        <v>62518100</v>
      </c>
      <c r="C58" s="83">
        <f t="shared" si="21"/>
        <v>9146280</v>
      </c>
      <c r="D58" s="83">
        <f>D46+D6</f>
        <v>3417709</v>
      </c>
      <c r="E58" s="83">
        <f t="shared" si="21"/>
        <v>2174681</v>
      </c>
      <c r="F58" s="83">
        <f t="shared" si="21"/>
        <v>3517381</v>
      </c>
      <c r="G58" s="83">
        <f t="shared" si="21"/>
        <v>10720943</v>
      </c>
      <c r="H58" s="83">
        <f t="shared" si="21"/>
        <v>4593981</v>
      </c>
      <c r="I58" s="83">
        <f t="shared" si="21"/>
        <v>2869581</v>
      </c>
      <c r="J58" s="83">
        <f t="shared" si="21"/>
        <v>3257381</v>
      </c>
      <c r="K58" s="83">
        <f t="shared" si="21"/>
        <v>22741843</v>
      </c>
      <c r="L58" s="83">
        <f t="shared" si="21"/>
        <v>3709781</v>
      </c>
      <c r="M58" s="83">
        <f t="shared" si="21"/>
        <v>3489781</v>
      </c>
      <c r="N58" s="83">
        <f t="shared" si="21"/>
        <v>15557281</v>
      </c>
      <c r="O58" s="83">
        <f t="shared" si="21"/>
        <v>19945543</v>
      </c>
      <c r="P58" s="83">
        <f t="shared" si="21"/>
        <v>5419781</v>
      </c>
      <c r="Q58" s="83">
        <f t="shared" si="21"/>
        <v>6987781</v>
      </c>
      <c r="R58" s="83">
        <f t="shared" si="21"/>
        <v>7537981</v>
      </c>
      <c r="S58" s="106">
        <f>S6+S46</f>
        <v>36007995</v>
      </c>
      <c r="T58" s="106">
        <f>T6+T46</f>
        <v>47992338</v>
      </c>
      <c r="U58" s="108"/>
      <c r="V58" s="109"/>
    </row>
    <row r="59" spans="1:22" ht="56.25" customHeight="1">
      <c r="A59" s="147" t="s">
        <v>74</v>
      </c>
      <c r="B59" s="148"/>
      <c r="C59" s="148"/>
      <c r="D59" s="136"/>
      <c r="E59" s="124"/>
      <c r="F59" s="125"/>
      <c r="G59" s="126"/>
      <c r="H59" s="126"/>
      <c r="I59" s="125" t="s">
        <v>75</v>
      </c>
      <c r="J59" s="126"/>
      <c r="K59" s="127"/>
      <c r="L59" s="128"/>
      <c r="M59" s="126"/>
      <c r="N59" s="126"/>
      <c r="O59" s="126"/>
      <c r="P59" s="128"/>
      <c r="Q59" s="128"/>
      <c r="R59" s="126"/>
      <c r="S59" s="15">
        <f>B59-R59</f>
        <v>0</v>
      </c>
      <c r="T59" s="15"/>
      <c r="U59" s="108">
        <f>R58+Q58+P58+N58+M58+L58+J58+I58+H58+F58+E58+D58</f>
        <v>62533100</v>
      </c>
      <c r="V59" s="109"/>
    </row>
    <row r="60" spans="1:20" ht="40.5" customHeight="1">
      <c r="A60" s="17" t="s">
        <v>73</v>
      </c>
      <c r="B60" s="18"/>
      <c r="C60" s="17"/>
      <c r="D60" s="25"/>
      <c r="P60" s="17"/>
      <c r="Q60" s="17"/>
      <c r="S60" s="15">
        <f>B60-R60</f>
        <v>0</v>
      </c>
      <c r="T60" s="15"/>
    </row>
    <row r="61" spans="1:20" ht="40.5" customHeight="1">
      <c r="A61" s="27"/>
      <c r="B61" s="19"/>
      <c r="C61" s="16"/>
      <c r="D61" s="27"/>
      <c r="E61" s="16"/>
      <c r="F61" s="16"/>
      <c r="S61" s="15" t="e">
        <f>#REF!-R61</f>
        <v>#REF!</v>
      </c>
      <c r="T61" s="15"/>
    </row>
    <row r="62" spans="1:20" ht="12.75">
      <c r="A62" s="27"/>
      <c r="B62" s="19"/>
      <c r="C62" s="19"/>
      <c r="D62" s="19"/>
      <c r="E62" s="19"/>
      <c r="F62" s="19"/>
      <c r="G62" s="25"/>
      <c r="H62" s="25"/>
      <c r="I62" s="25"/>
      <c r="S62" s="15">
        <f>B61-R62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>
        <f>B63-R63</f>
        <v>0</v>
      </c>
      <c r="T63" s="15"/>
    </row>
    <row r="64" spans="1:20" ht="12.75" customHeight="1">
      <c r="A64" s="28"/>
      <c r="B64" s="29"/>
      <c r="C64" s="29"/>
      <c r="D64" s="29"/>
      <c r="E64" s="29"/>
      <c r="F64" s="29"/>
      <c r="G64" s="26"/>
      <c r="H64" s="26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15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7" ht="12.75">
      <c r="E107" s="3" t="s">
        <v>29</v>
      </c>
    </row>
  </sheetData>
  <sheetProtection/>
  <mergeCells count="5">
    <mergeCell ref="A2:R2"/>
    <mergeCell ref="A4:A5"/>
    <mergeCell ref="B4:B5"/>
    <mergeCell ref="D4:R4"/>
    <mergeCell ref="A59:C59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SheetLayoutView="100" zoomScalePageLayoutView="0" workbookViewId="0" topLeftCell="A1">
      <pane ySplit="5" topLeftCell="A52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3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5" t="s">
        <v>3</v>
      </c>
      <c r="E5" s="5" t="s">
        <v>4</v>
      </c>
      <c r="F5" s="5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49570800</v>
      </c>
      <c r="C6" s="77">
        <f aca="true" t="shared" si="0" ref="C6:R6">C11+C16+C17+C18+C21+C22+C23+C25+C26+C27+C28+C31+C34+C37+C44</f>
        <v>8326171</v>
      </c>
      <c r="D6" s="77">
        <f>D11+D16+D17+D18+D21+D22+D23+D25+D26+D27+D28+D31+D34+D37+D44</f>
        <v>2219209</v>
      </c>
      <c r="E6" s="77">
        <f t="shared" si="0"/>
        <v>2659581</v>
      </c>
      <c r="F6" s="77">
        <f t="shared" si="0"/>
        <v>3447381</v>
      </c>
      <c r="G6" s="77">
        <f t="shared" si="0"/>
        <v>10680543</v>
      </c>
      <c r="H6" s="77">
        <f>H11+H16+H17+H18+H21+H22+H23+H25+H26+H27+H28+H31+H34+H37+H44</f>
        <v>4643581</v>
      </c>
      <c r="I6" s="77">
        <f t="shared" si="0"/>
        <v>2839581</v>
      </c>
      <c r="J6" s="77">
        <f t="shared" si="0"/>
        <v>3197381</v>
      </c>
      <c r="K6" s="77">
        <f t="shared" si="0"/>
        <v>11181043</v>
      </c>
      <c r="L6" s="77">
        <f t="shared" si="0"/>
        <v>3709781</v>
      </c>
      <c r="M6" s="77">
        <f t="shared" si="0"/>
        <v>3439781</v>
      </c>
      <c r="N6" s="77">
        <f>N11+N16+N17+N18+N21+N22+N23+N25+N26+N27+N28+N31+N34+N37+N44</f>
        <v>4046481</v>
      </c>
      <c r="O6" s="77">
        <f t="shared" si="0"/>
        <v>19383043</v>
      </c>
      <c r="P6" s="77">
        <f t="shared" si="0"/>
        <v>5359781</v>
      </c>
      <c r="Q6" s="77">
        <f t="shared" si="0"/>
        <v>7049781</v>
      </c>
      <c r="R6" s="98">
        <f t="shared" si="0"/>
        <v>6973481</v>
      </c>
      <c r="S6" s="64">
        <f aca="true" t="shared" si="1" ref="S6:S22">D6+E6+F6+H6+I6+J6+L6</f>
        <v>22716495</v>
      </c>
      <c r="T6" s="65">
        <f aca="true" t="shared" si="2" ref="T6:T22">B6-Q6-R6</f>
        <v>35547538</v>
      </c>
      <c r="U6" s="66"/>
    </row>
    <row r="7" spans="1:21" ht="15" customHeight="1">
      <c r="A7" s="6" t="s">
        <v>19</v>
      </c>
      <c r="B7" s="76">
        <f>C7+G7+K7+O7</f>
        <v>18003000</v>
      </c>
      <c r="C7" s="76">
        <f>SUM(D7:F7)</f>
        <v>3700000</v>
      </c>
      <c r="D7" s="78">
        <v>1100000</v>
      </c>
      <c r="E7" s="78">
        <v>1100000</v>
      </c>
      <c r="F7" s="78">
        <v>1500000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5003000</v>
      </c>
      <c r="P7" s="78">
        <v>1500000</v>
      </c>
      <c r="Q7" s="78">
        <v>1500000</v>
      </c>
      <c r="R7" s="76">
        <v>2003000</v>
      </c>
      <c r="S7" s="64">
        <f t="shared" si="1"/>
        <v>9900000</v>
      </c>
      <c r="T7" s="65">
        <f t="shared" si="2"/>
        <v>14500000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500</v>
      </c>
      <c r="D8" s="80">
        <v>0</v>
      </c>
      <c r="E8" s="80">
        <v>0</v>
      </c>
      <c r="F8" s="80">
        <v>500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61100</v>
      </c>
      <c r="P8" s="80">
        <f>17400-17400</f>
        <v>0</v>
      </c>
      <c r="Q8" s="80">
        <v>0</v>
      </c>
      <c r="R8" s="76">
        <v>61100</v>
      </c>
      <c r="S8" s="64">
        <f t="shared" si="1"/>
        <v>1000</v>
      </c>
      <c r="T8" s="65">
        <f t="shared" si="2"/>
        <v>1500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100000</v>
      </c>
      <c r="D9" s="80">
        <v>0</v>
      </c>
      <c r="E9" s="80">
        <v>0</v>
      </c>
      <c r="F9" s="80">
        <v>100000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245600</v>
      </c>
      <c r="P9" s="80">
        <v>0</v>
      </c>
      <c r="Q9" s="80">
        <v>0</v>
      </c>
      <c r="R9" s="76">
        <f>170000+75600</f>
        <v>245600</v>
      </c>
      <c r="S9" s="64">
        <f t="shared" si="1"/>
        <v>270000</v>
      </c>
      <c r="T9" s="65">
        <f t="shared" si="2"/>
        <v>450000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15000</v>
      </c>
      <c r="D10" s="80">
        <v>0</v>
      </c>
      <c r="E10" s="80">
        <v>0</v>
      </c>
      <c r="F10" s="80">
        <v>15000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v>15000</v>
      </c>
      <c r="L10" s="80">
        <v>0</v>
      </c>
      <c r="M10" s="80">
        <v>0</v>
      </c>
      <c r="N10" s="80">
        <v>30000</v>
      </c>
      <c r="O10" s="79">
        <f>P10+Q10+R10</f>
        <v>73400</v>
      </c>
      <c r="P10" s="80">
        <v>0</v>
      </c>
      <c r="Q10" s="80">
        <v>0</v>
      </c>
      <c r="R10" s="76">
        <f>73400</f>
        <v>73400</v>
      </c>
      <c r="S10" s="64">
        <f t="shared" si="1"/>
        <v>30000</v>
      </c>
      <c r="T10" s="65">
        <f t="shared" si="2"/>
        <v>45000</v>
      </c>
      <c r="U10" s="66"/>
    </row>
    <row r="11" spans="1:21" ht="12.75" customHeight="1">
      <c r="A11" s="36" t="s">
        <v>22</v>
      </c>
      <c r="B11" s="81">
        <f>SUM(B7:B10)</f>
        <v>18879600</v>
      </c>
      <c r="C11" s="81">
        <f aca="true" t="shared" si="3" ref="C11:R11">SUM(C7:C10)</f>
        <v>3815500</v>
      </c>
      <c r="D11" s="81">
        <f t="shared" si="3"/>
        <v>1100000</v>
      </c>
      <c r="E11" s="81">
        <f t="shared" si="3"/>
        <v>1100000</v>
      </c>
      <c r="F11" s="81">
        <f t="shared" si="3"/>
        <v>1615500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1710500</v>
      </c>
      <c r="O11" s="83">
        <f t="shared" si="3"/>
        <v>5383100</v>
      </c>
      <c r="P11" s="81">
        <f t="shared" si="3"/>
        <v>1500000</v>
      </c>
      <c r="Q11" s="81">
        <f t="shared" si="3"/>
        <v>1500000</v>
      </c>
      <c r="R11" s="83">
        <f t="shared" si="3"/>
        <v>2383100</v>
      </c>
      <c r="S11" s="67">
        <f t="shared" si="1"/>
        <v>10201000</v>
      </c>
      <c r="T11" s="68">
        <f t="shared" si="2"/>
        <v>14996500</v>
      </c>
      <c r="U11" s="66"/>
    </row>
    <row r="12" spans="1:21" ht="12.75" customHeight="1">
      <c r="A12" s="7" t="s">
        <v>78</v>
      </c>
      <c r="B12" s="80">
        <f>C12+G12+K12+O12</f>
        <v>2983700</v>
      </c>
      <c r="C12" s="80">
        <f>D12+E12+F12</f>
        <v>600000</v>
      </c>
      <c r="D12" s="80">
        <v>250000</v>
      </c>
      <c r="E12" s="80">
        <v>100000</v>
      </c>
      <c r="F12" s="80">
        <v>250000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683700</v>
      </c>
      <c r="P12" s="80">
        <v>250000</v>
      </c>
      <c r="Q12" s="80">
        <v>250000</v>
      </c>
      <c r="R12" s="76">
        <f>150000+33700</f>
        <v>183700</v>
      </c>
      <c r="S12" s="64">
        <f t="shared" si="1"/>
        <v>1700000</v>
      </c>
      <c r="T12" s="65">
        <f t="shared" si="2"/>
        <v>2550000</v>
      </c>
      <c r="U12" s="66"/>
    </row>
    <row r="13" spans="1:21" ht="12.75" customHeight="1">
      <c r="A13" s="7" t="s">
        <v>79</v>
      </c>
      <c r="B13" s="80">
        <f>C13+G13+K13+O13</f>
        <v>29600</v>
      </c>
      <c r="C13" s="80">
        <f>D13+E13+F13</f>
        <v>5400</v>
      </c>
      <c r="D13" s="80">
        <v>1800</v>
      </c>
      <c r="E13" s="80">
        <v>1800</v>
      </c>
      <c r="F13" s="80">
        <v>1800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7800</v>
      </c>
      <c r="P13" s="80">
        <v>2000</v>
      </c>
      <c r="Q13" s="80">
        <v>2000</v>
      </c>
      <c r="R13" s="76">
        <v>3800</v>
      </c>
      <c r="S13" s="64">
        <f t="shared" si="1"/>
        <v>12800</v>
      </c>
      <c r="T13" s="65">
        <f t="shared" si="2"/>
        <v>23800</v>
      </c>
      <c r="U13" s="66"/>
    </row>
    <row r="14" spans="1:21" ht="12.75" customHeight="1">
      <c r="A14" s="7" t="s">
        <v>80</v>
      </c>
      <c r="B14" s="80">
        <f>C14+G14+K14+O14</f>
        <v>3568900</v>
      </c>
      <c r="C14" s="80">
        <f>D14+E14+F14</f>
        <v>750000</v>
      </c>
      <c r="D14" s="80">
        <v>150000</v>
      </c>
      <c r="E14" s="80">
        <v>150000</v>
      </c>
      <c r="F14" s="80">
        <v>450000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900000</v>
      </c>
      <c r="P14" s="80">
        <v>300000</v>
      </c>
      <c r="Q14" s="80">
        <v>300000</v>
      </c>
      <c r="R14" s="76">
        <v>300000</v>
      </c>
      <c r="S14" s="64">
        <f t="shared" si="1"/>
        <v>1950000</v>
      </c>
      <c r="T14" s="65">
        <f t="shared" si="2"/>
        <v>2968900</v>
      </c>
      <c r="U14" s="66"/>
    </row>
    <row r="15" spans="1:21" ht="12.75" customHeight="1">
      <c r="A15" s="7" t="s">
        <v>81</v>
      </c>
      <c r="B15" s="80">
        <f>C15+G15+K15+O15</f>
        <v>0</v>
      </c>
      <c r="C15" s="80">
        <f>D15+E15+F15</f>
        <v>0</v>
      </c>
      <c r="D15" s="80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1355400</v>
      </c>
      <c r="D16" s="82">
        <f t="shared" si="4"/>
        <v>401800</v>
      </c>
      <c r="E16" s="82">
        <f t="shared" si="4"/>
        <v>251800</v>
      </c>
      <c r="F16" s="82">
        <f t="shared" si="4"/>
        <v>701800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1591500</v>
      </c>
      <c r="P16" s="82">
        <f t="shared" si="4"/>
        <v>552000</v>
      </c>
      <c r="Q16" s="82">
        <f t="shared" si="4"/>
        <v>552000</v>
      </c>
      <c r="R16" s="93">
        <f t="shared" si="4"/>
        <v>487500</v>
      </c>
      <c r="S16" s="67">
        <f t="shared" si="1"/>
        <v>3662800</v>
      </c>
      <c r="T16" s="68">
        <f t="shared" si="2"/>
        <v>5542700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0</v>
      </c>
      <c r="D17" s="84">
        <v>0</v>
      </c>
      <c r="E17" s="84">
        <v>0</v>
      </c>
      <c r="F17" s="84">
        <v>0</v>
      </c>
      <c r="G17" s="85">
        <f>H17+I17+J17</f>
        <v>1850000</v>
      </c>
      <c r="H17" s="84">
        <v>1850000</v>
      </c>
      <c r="I17" s="84">
        <v>0</v>
      </c>
      <c r="J17" s="85">
        <v>0</v>
      </c>
      <c r="K17" s="86">
        <f>L17+M17+N17</f>
        <v>900000</v>
      </c>
      <c r="L17" s="84">
        <v>900000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40000</v>
      </c>
      <c r="D18" s="87">
        <v>20000</v>
      </c>
      <c r="E18" s="87">
        <v>10000</v>
      </c>
      <c r="F18" s="87">
        <v>10000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3510000</v>
      </c>
      <c r="P18" s="87">
        <v>500000</v>
      </c>
      <c r="Q18" s="87">
        <v>1500000</v>
      </c>
      <c r="R18" s="88">
        <v>1510000</v>
      </c>
      <c r="S18" s="69">
        <f t="shared" si="1"/>
        <v>190000</v>
      </c>
      <c r="T18" s="70">
        <f t="shared" si="2"/>
        <v>1190000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2400000</v>
      </c>
      <c r="D19" s="118">
        <v>400000</v>
      </c>
      <c r="E19" s="118">
        <v>1100000</v>
      </c>
      <c r="F19" s="118">
        <v>900000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800000</v>
      </c>
      <c r="P19" s="118">
        <v>300000</v>
      </c>
      <c r="Q19" s="118">
        <v>400000</v>
      </c>
      <c r="R19" s="119">
        <v>100000</v>
      </c>
      <c r="S19" s="120">
        <f t="shared" si="1"/>
        <v>4020000</v>
      </c>
      <c r="T19" s="121">
        <f t="shared" si="2"/>
        <v>4700000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400000</v>
      </c>
      <c r="D20" s="80">
        <v>200000</v>
      </c>
      <c r="E20" s="80">
        <v>100000</v>
      </c>
      <c r="F20" s="80">
        <v>100000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5900000</v>
      </c>
      <c r="P20" s="80">
        <f>2400000</f>
        <v>2400000</v>
      </c>
      <c r="Q20" s="80">
        <v>3000000</v>
      </c>
      <c r="R20" s="76">
        <v>500000</v>
      </c>
      <c r="S20" s="64">
        <f t="shared" si="1"/>
        <v>1100000</v>
      </c>
      <c r="T20" s="65">
        <f t="shared" si="2"/>
        <v>5200000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2800000</v>
      </c>
      <c r="D21" s="90">
        <f t="shared" si="5"/>
        <v>600000</v>
      </c>
      <c r="E21" s="90">
        <f t="shared" si="5"/>
        <v>1200000</v>
      </c>
      <c r="F21" s="90">
        <f t="shared" si="5"/>
        <v>1000000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6700000</v>
      </c>
      <c r="P21" s="90">
        <f t="shared" si="5"/>
        <v>2700000</v>
      </c>
      <c r="Q21" s="90">
        <f t="shared" si="5"/>
        <v>3400000</v>
      </c>
      <c r="R21" s="115">
        <f t="shared" si="5"/>
        <v>600000</v>
      </c>
      <c r="S21" s="69">
        <f t="shared" si="1"/>
        <v>5120000</v>
      </c>
      <c r="T21" s="70">
        <f t="shared" si="2"/>
        <v>9900000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22300</v>
      </c>
      <c r="D23" s="92">
        <v>0</v>
      </c>
      <c r="E23" s="92">
        <f aca="true" t="shared" si="7" ref="E23:R23">E24</f>
        <v>0</v>
      </c>
      <c r="F23" s="92">
        <f t="shared" si="7"/>
        <v>22300</v>
      </c>
      <c r="G23" s="92">
        <f t="shared" si="7"/>
        <v>22300</v>
      </c>
      <c r="H23" s="92">
        <f t="shared" si="7"/>
        <v>0</v>
      </c>
      <c r="I23" s="92">
        <f t="shared" si="7"/>
        <v>0</v>
      </c>
      <c r="J23" s="92">
        <f t="shared" si="7"/>
        <v>22300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22300</v>
      </c>
      <c r="D24" s="80">
        <v>0</v>
      </c>
      <c r="E24" s="80">
        <v>0</v>
      </c>
      <c r="F24" s="80">
        <v>22300</v>
      </c>
      <c r="G24" s="79">
        <f>H24+I24+J24</f>
        <v>22300</v>
      </c>
      <c r="H24" s="80">
        <v>0</v>
      </c>
      <c r="I24" s="80">
        <v>0</v>
      </c>
      <c r="J24" s="80">
        <v>22300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292971</v>
      </c>
      <c r="D25" s="82">
        <v>97409</v>
      </c>
      <c r="E25" s="82">
        <v>97781</v>
      </c>
      <c r="F25" s="82">
        <v>97781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293343</v>
      </c>
      <c r="P25" s="82">
        <v>97781</v>
      </c>
      <c r="Q25" s="82">
        <v>97781</v>
      </c>
      <c r="R25" s="93">
        <v>97781</v>
      </c>
      <c r="S25" s="64"/>
      <c r="T25" s="65">
        <f>B25-Q25-R25</f>
        <v>977438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80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80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1862800</v>
      </c>
      <c r="P31" s="82">
        <f t="shared" si="9"/>
        <v>0</v>
      </c>
      <c r="Q31" s="82">
        <f t="shared" si="9"/>
        <v>0</v>
      </c>
      <c r="R31" s="93">
        <f t="shared" si="9"/>
        <v>1862800</v>
      </c>
      <c r="S31" s="69">
        <f>D31+E31+F31+H31+I31+J31+L31</f>
        <v>0</v>
      </c>
      <c r="T31" s="70">
        <f>B31-Q31-R31</f>
        <v>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80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0</v>
      </c>
      <c r="D33" s="80">
        <v>0</v>
      </c>
      <c r="E33" s="80">
        <v>0</v>
      </c>
      <c r="F33" s="80">
        <v>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1862800</v>
      </c>
      <c r="P33" s="80">
        <v>0</v>
      </c>
      <c r="Q33" s="80">
        <v>0</v>
      </c>
      <c r="R33" s="76">
        <v>1862800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80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80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0</v>
      </c>
      <c r="D37" s="93">
        <f t="shared" si="11"/>
        <v>0</v>
      </c>
      <c r="E37" s="93">
        <f t="shared" si="11"/>
        <v>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50000</v>
      </c>
      <c r="L37" s="93">
        <f t="shared" si="11"/>
        <v>0</v>
      </c>
      <c r="M37" s="93">
        <f t="shared" si="11"/>
        <v>40000</v>
      </c>
      <c r="N37" s="93">
        <f t="shared" si="11"/>
        <v>10000</v>
      </c>
      <c r="O37" s="93">
        <f t="shared" si="11"/>
        <v>10000</v>
      </c>
      <c r="P37" s="93">
        <f t="shared" si="11"/>
        <v>10000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7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0</v>
      </c>
      <c r="D39" s="76">
        <v>0</v>
      </c>
      <c r="E39" s="76">
        <v>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50000</v>
      </c>
      <c r="L39" s="76">
        <v>0</v>
      </c>
      <c r="M39" s="76">
        <v>40000</v>
      </c>
      <c r="N39" s="76">
        <v>10000</v>
      </c>
      <c r="O39" s="76">
        <f t="shared" si="15"/>
        <v>10000</v>
      </c>
      <c r="P39" s="76">
        <v>10000</v>
      </c>
      <c r="Q39" s="76">
        <v>0</v>
      </c>
      <c r="R39" s="76">
        <v>0</v>
      </c>
      <c r="S39" s="64">
        <f>D39+E39+F39+H39+I39+J39+L39</f>
        <v>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7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7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7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7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 aca="true" t="shared" si="17" ref="B46:R46">B47+B53+B57</f>
        <v>12947300</v>
      </c>
      <c r="C46" s="96">
        <f t="shared" si="17"/>
        <v>105400</v>
      </c>
      <c r="D46" s="96">
        <f t="shared" si="17"/>
        <v>0</v>
      </c>
      <c r="E46" s="96">
        <f t="shared" si="17"/>
        <v>35400</v>
      </c>
      <c r="F46" s="96">
        <f t="shared" si="17"/>
        <v>70000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88100</v>
      </c>
      <c r="L46" s="96">
        <f t="shared" si="17"/>
        <v>0</v>
      </c>
      <c r="M46" s="96">
        <f t="shared" si="17"/>
        <v>50000</v>
      </c>
      <c r="N46" s="96">
        <f t="shared" si="17"/>
        <v>11511800</v>
      </c>
      <c r="O46" s="96">
        <f t="shared" si="17"/>
        <v>1172500</v>
      </c>
      <c r="P46" s="96">
        <f t="shared" si="17"/>
        <v>60000</v>
      </c>
      <c r="Q46" s="96">
        <f t="shared" si="17"/>
        <v>30000</v>
      </c>
      <c r="R46" s="96">
        <f t="shared" si="17"/>
        <v>1082500</v>
      </c>
      <c r="S46" s="97">
        <f>O46+K46+G46+C46</f>
        <v>1473600</v>
      </c>
      <c r="T46" s="97">
        <f>B46-Q46-R46</f>
        <v>11834800</v>
      </c>
      <c r="U46" s="108"/>
      <c r="V46" s="109"/>
    </row>
    <row r="47" spans="1:22" ht="21.75" customHeight="1">
      <c r="A47" s="50" t="s">
        <v>60</v>
      </c>
      <c r="B47" s="98">
        <f>B49+B50+B51+B48</f>
        <v>12947300</v>
      </c>
      <c r="C47" s="98">
        <f aca="true" t="shared" si="18" ref="C47:R47">C49+C50+C51</f>
        <v>105400</v>
      </c>
      <c r="D47" s="98">
        <f t="shared" si="18"/>
        <v>0</v>
      </c>
      <c r="E47" s="98">
        <f t="shared" si="18"/>
        <v>35400</v>
      </c>
      <c r="F47" s="98">
        <f t="shared" si="18"/>
        <v>70000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 t="shared" si="18"/>
        <v>88100</v>
      </c>
      <c r="L47" s="98">
        <f t="shared" si="18"/>
        <v>0</v>
      </c>
      <c r="M47" s="98">
        <f t="shared" si="18"/>
        <v>50000</v>
      </c>
      <c r="N47" s="98">
        <f>N49+N50+N51+N48</f>
        <v>11511800</v>
      </c>
      <c r="O47" s="98">
        <f t="shared" si="18"/>
        <v>1172500</v>
      </c>
      <c r="P47" s="98">
        <f t="shared" si="18"/>
        <v>60000</v>
      </c>
      <c r="Q47" s="98">
        <f t="shared" si="18"/>
        <v>30000</v>
      </c>
      <c r="R47" s="98">
        <f t="shared" si="18"/>
        <v>1082500</v>
      </c>
      <c r="S47" s="98" t="e">
        <f>#REF!+S49+#REF!+S50+S51+S52+#REF!</f>
        <v>#REF!</v>
      </c>
      <c r="T47" s="98" t="e">
        <f>#REF!+T49+#REF!+T50+T51+T52+#REF!</f>
        <v>#REF!</v>
      </c>
      <c r="U47" s="108"/>
      <c r="V47" s="109"/>
    </row>
    <row r="48" spans="1:22" ht="15" customHeight="1">
      <c r="A48" s="7" t="s">
        <v>77</v>
      </c>
      <c r="B48" s="76">
        <f>C48+G48+K48+O48</f>
        <v>11473700</v>
      </c>
      <c r="C48" s="99">
        <f>D48+E48+F48</f>
        <v>0</v>
      </c>
      <c r="D48" s="79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11473700</v>
      </c>
      <c r="L48" s="79">
        <v>0</v>
      </c>
      <c r="M48" s="79">
        <v>0</v>
      </c>
      <c r="N48" s="79">
        <v>11473700</v>
      </c>
      <c r="O48" s="99">
        <f>P48+Q48+R48</f>
        <v>0</v>
      </c>
      <c r="P48" s="79">
        <v>0</v>
      </c>
      <c r="Q48" s="79">
        <v>0</v>
      </c>
      <c r="R48" s="79"/>
      <c r="S48" s="100"/>
      <c r="T48" s="100">
        <f aca="true" t="shared" si="19" ref="T48:T53">B48-Q48-R48</f>
        <v>11473700</v>
      </c>
      <c r="U48" s="109"/>
      <c r="V48" s="109"/>
    </row>
    <row r="49" spans="1:22" ht="15" customHeight="1">
      <c r="A49" s="7" t="s">
        <v>71</v>
      </c>
      <c r="B49" s="76">
        <f>C49+G49+K49+O49</f>
        <v>1022500</v>
      </c>
      <c r="C49" s="99">
        <f>D49+E49+F49</f>
        <v>0</v>
      </c>
      <c r="D49" s="79">
        <v>0</v>
      </c>
      <c r="E49" s="79">
        <v>0</v>
      </c>
      <c r="F49" s="79">
        <v>0</v>
      </c>
      <c r="G49" s="99">
        <f>H49+I49+J49</f>
        <v>0</v>
      </c>
      <c r="H49" s="79">
        <v>0</v>
      </c>
      <c r="I49" s="79">
        <v>0</v>
      </c>
      <c r="J49" s="79">
        <v>0</v>
      </c>
      <c r="K49" s="99">
        <f>L49+M49+N49</f>
        <v>0</v>
      </c>
      <c r="L49" s="79">
        <v>0</v>
      </c>
      <c r="M49" s="79">
        <v>0</v>
      </c>
      <c r="N49" s="79">
        <v>0</v>
      </c>
      <c r="O49" s="99">
        <f>P49+Q49+R49</f>
        <v>1022500</v>
      </c>
      <c r="P49" s="79">
        <v>0</v>
      </c>
      <c r="Q49" s="79">
        <v>0</v>
      </c>
      <c r="R49" s="79">
        <f>1025200-2700</f>
        <v>1022500</v>
      </c>
      <c r="S49" s="100"/>
      <c r="T49" s="100">
        <f t="shared" si="19"/>
        <v>0</v>
      </c>
      <c r="U49" s="109"/>
      <c r="V49" s="109"/>
    </row>
    <row r="50" spans="1:22" ht="15" customHeight="1">
      <c r="A50" s="8" t="s">
        <v>76</v>
      </c>
      <c r="B50" s="76">
        <f>C50+G50+K50+O50</f>
        <v>443500</v>
      </c>
      <c r="C50" s="99">
        <f>D50+E50+F50</f>
        <v>105400</v>
      </c>
      <c r="D50" s="99">
        <v>0</v>
      </c>
      <c r="E50" s="99">
        <v>35400</v>
      </c>
      <c r="F50" s="99">
        <v>70000</v>
      </c>
      <c r="G50" s="99">
        <f>H50+I50+J50</f>
        <v>100000</v>
      </c>
      <c r="H50" s="99">
        <v>10000</v>
      </c>
      <c r="I50" s="99">
        <v>30000</v>
      </c>
      <c r="J50" s="79">
        <v>60000</v>
      </c>
      <c r="K50" s="99">
        <f>L50+M50+N50</f>
        <v>88100</v>
      </c>
      <c r="L50" s="99">
        <v>0</v>
      </c>
      <c r="M50" s="99">
        <v>50000</v>
      </c>
      <c r="N50" s="99">
        <v>38100</v>
      </c>
      <c r="O50" s="99">
        <f>P50+Q50+R50</f>
        <v>150000</v>
      </c>
      <c r="P50" s="99">
        <v>60000</v>
      </c>
      <c r="Q50" s="99">
        <v>30000</v>
      </c>
      <c r="R50" s="79">
        <v>60000</v>
      </c>
      <c r="S50" s="100">
        <f>O50+K50+G50+C50</f>
        <v>443500</v>
      </c>
      <c r="T50" s="100">
        <f t="shared" si="19"/>
        <v>353500</v>
      </c>
      <c r="U50" s="109"/>
      <c r="V50" s="109"/>
    </row>
    <row r="51" spans="1:22" ht="15" customHeight="1">
      <c r="A51" s="8" t="s">
        <v>69</v>
      </c>
      <c r="B51" s="76">
        <f>C51+G51+K51+O51</f>
        <v>7600</v>
      </c>
      <c r="C51" s="99">
        <v>0</v>
      </c>
      <c r="D51" s="99">
        <v>0</v>
      </c>
      <c r="E51" s="99">
        <v>0</v>
      </c>
      <c r="F51" s="99">
        <v>0</v>
      </c>
      <c r="G51" s="99">
        <f>H51+I51+J51</f>
        <v>7600</v>
      </c>
      <c r="H51" s="101">
        <f>0+7600</f>
        <v>7600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f>7600-7600</f>
        <v>0</v>
      </c>
      <c r="S51" s="100">
        <f>O51+K51+G51+C51</f>
        <v>7600</v>
      </c>
      <c r="T51" s="100">
        <f t="shared" si="19"/>
        <v>7600</v>
      </c>
      <c r="U51" s="109"/>
      <c r="V51" s="109"/>
    </row>
    <row r="52" spans="1:22" ht="27" customHeight="1">
      <c r="A52" s="61" t="s">
        <v>70</v>
      </c>
      <c r="B52" s="76">
        <f>C52+G52+K52+O52</f>
        <v>0</v>
      </c>
      <c r="C52" s="99">
        <f>D52+E52+F52</f>
        <v>0</v>
      </c>
      <c r="D52" s="101">
        <v>0</v>
      </c>
      <c r="E52" s="99">
        <v>0</v>
      </c>
      <c r="F52" s="99">
        <v>0</v>
      </c>
      <c r="G52" s="99">
        <f>H52+I52+J52</f>
        <v>0</v>
      </c>
      <c r="H52" s="101">
        <v>0</v>
      </c>
      <c r="I52" s="101">
        <v>0</v>
      </c>
      <c r="J52" s="101">
        <v>0</v>
      </c>
      <c r="K52" s="99">
        <f>L52+M52+N52</f>
        <v>0</v>
      </c>
      <c r="L52" s="101">
        <v>0</v>
      </c>
      <c r="M52" s="101">
        <v>0</v>
      </c>
      <c r="N52" s="101">
        <v>0</v>
      </c>
      <c r="O52" s="99">
        <f>P52+Q52+R52</f>
        <v>0</v>
      </c>
      <c r="P52" s="101">
        <v>0</v>
      </c>
      <c r="Q52" s="101">
        <v>0</v>
      </c>
      <c r="R52" s="79">
        <v>0</v>
      </c>
      <c r="S52" s="100">
        <f>O52+K52+G52+C52</f>
        <v>0</v>
      </c>
      <c r="T52" s="100">
        <f t="shared" si="19"/>
        <v>0</v>
      </c>
      <c r="U52" s="109"/>
      <c r="V52" s="109"/>
    </row>
    <row r="53" spans="1:20" s="107" customFormat="1" ht="26.25" customHeight="1">
      <c r="A53" s="45" t="s">
        <v>67</v>
      </c>
      <c r="B53" s="102">
        <f aca="true" t="shared" si="20" ref="B53:R53">B54+B55+B56</f>
        <v>0</v>
      </c>
      <c r="C53" s="102">
        <f t="shared" si="20"/>
        <v>0</v>
      </c>
      <c r="D53" s="102">
        <f t="shared" si="20"/>
        <v>0</v>
      </c>
      <c r="E53" s="102">
        <f t="shared" si="20"/>
        <v>0</v>
      </c>
      <c r="F53" s="102">
        <f t="shared" si="20"/>
        <v>0</v>
      </c>
      <c r="G53" s="102">
        <f t="shared" si="20"/>
        <v>0</v>
      </c>
      <c r="H53" s="102">
        <f t="shared" si="20"/>
        <v>0</v>
      </c>
      <c r="I53" s="102">
        <f t="shared" si="20"/>
        <v>0</v>
      </c>
      <c r="J53" s="102">
        <f t="shared" si="20"/>
        <v>0</v>
      </c>
      <c r="K53" s="102">
        <f t="shared" si="20"/>
        <v>0</v>
      </c>
      <c r="L53" s="102">
        <f t="shared" si="20"/>
        <v>0</v>
      </c>
      <c r="M53" s="102">
        <f t="shared" si="20"/>
        <v>0</v>
      </c>
      <c r="N53" s="102">
        <f t="shared" si="20"/>
        <v>0</v>
      </c>
      <c r="O53" s="102">
        <f t="shared" si="20"/>
        <v>0</v>
      </c>
      <c r="P53" s="102">
        <f t="shared" si="20"/>
        <v>0</v>
      </c>
      <c r="Q53" s="102">
        <f t="shared" si="20"/>
        <v>0</v>
      </c>
      <c r="R53" s="94">
        <f t="shared" si="20"/>
        <v>0</v>
      </c>
      <c r="S53" s="103">
        <f>O53+K53+G53+C53</f>
        <v>0</v>
      </c>
      <c r="T53" s="103">
        <f t="shared" si="19"/>
        <v>0</v>
      </c>
    </row>
    <row r="54" spans="1:20" s="107" customFormat="1" ht="15.75" customHeight="1">
      <c r="A54" s="62" t="s">
        <v>66</v>
      </c>
      <c r="B54" s="101">
        <f>C54+G54+K54+O54</f>
        <v>0</v>
      </c>
      <c r="C54" s="101">
        <f>D54+E54+F54</f>
        <v>0</v>
      </c>
      <c r="D54" s="101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5" customHeight="1">
      <c r="A55" s="62" t="s">
        <v>65</v>
      </c>
      <c r="B55" s="101">
        <f>C55+G55+K55+O55</f>
        <v>0</v>
      </c>
      <c r="C55" s="101">
        <f>D55+E55+F55</f>
        <v>0</v>
      </c>
      <c r="D55" s="101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13.5" customHeight="1">
      <c r="A56" s="62" t="s">
        <v>64</v>
      </c>
      <c r="B56" s="101">
        <f>C56+G56+K56+O56</f>
        <v>0</v>
      </c>
      <c r="C56" s="101">
        <f>D56+E56+F56</f>
        <v>0</v>
      </c>
      <c r="D56" s="101">
        <v>0</v>
      </c>
      <c r="E56" s="101">
        <v>0</v>
      </c>
      <c r="F56" s="101">
        <v>0</v>
      </c>
      <c r="G56" s="101">
        <f>H56+I56+J56</f>
        <v>0</v>
      </c>
      <c r="H56" s="101">
        <v>0</v>
      </c>
      <c r="I56" s="101">
        <v>0</v>
      </c>
      <c r="J56" s="101">
        <v>0</v>
      </c>
      <c r="K56" s="79">
        <f>L56+M56+N56</f>
        <v>0</v>
      </c>
      <c r="L56" s="101">
        <v>0</v>
      </c>
      <c r="M56" s="101">
        <v>0</v>
      </c>
      <c r="N56" s="101">
        <v>0</v>
      </c>
      <c r="O56" s="101">
        <f>P56+Q56+R56</f>
        <v>0</v>
      </c>
      <c r="P56" s="101">
        <v>0</v>
      </c>
      <c r="Q56" s="101">
        <v>0</v>
      </c>
      <c r="R56" s="79">
        <v>0</v>
      </c>
      <c r="S56" s="103"/>
      <c r="T56" s="103"/>
    </row>
    <row r="57" spans="1:20" s="107" customFormat="1" ht="27" customHeight="1">
      <c r="A57" s="48" t="s">
        <v>63</v>
      </c>
      <c r="B57" s="104">
        <f>C57+G57+K57+O57</f>
        <v>0</v>
      </c>
      <c r="C57" s="104">
        <f>D57+E57+F57</f>
        <v>0</v>
      </c>
      <c r="D57" s="104">
        <v>0</v>
      </c>
      <c r="E57" s="104">
        <v>0</v>
      </c>
      <c r="F57" s="104">
        <v>0</v>
      </c>
      <c r="G57" s="104">
        <f>H57+I57+J57</f>
        <v>0</v>
      </c>
      <c r="H57" s="104">
        <v>0</v>
      </c>
      <c r="I57" s="104">
        <v>0</v>
      </c>
      <c r="J57" s="104">
        <v>0</v>
      </c>
      <c r="K57" s="105">
        <f>L57+M57+N57</f>
        <v>0</v>
      </c>
      <c r="L57" s="104">
        <v>0</v>
      </c>
      <c r="M57" s="104">
        <v>0</v>
      </c>
      <c r="N57" s="104">
        <v>0</v>
      </c>
      <c r="O57" s="104">
        <f>P57+Q57+R57</f>
        <v>0</v>
      </c>
      <c r="P57" s="104">
        <v>0</v>
      </c>
      <c r="Q57" s="104">
        <v>0</v>
      </c>
      <c r="R57" s="94">
        <v>0</v>
      </c>
      <c r="S57" s="100">
        <f>O57+K57+G57+C57</f>
        <v>0</v>
      </c>
      <c r="T57" s="100">
        <f>B57-Q57-R57</f>
        <v>0</v>
      </c>
    </row>
    <row r="58" spans="1:22" ht="19.5" customHeight="1">
      <c r="A58" s="51" t="s">
        <v>57</v>
      </c>
      <c r="B58" s="83">
        <f aca="true" t="shared" si="21" ref="B58:R58">B46+B6</f>
        <v>62518100</v>
      </c>
      <c r="C58" s="83">
        <f t="shared" si="21"/>
        <v>8431571</v>
      </c>
      <c r="D58" s="83">
        <f>D46+D6</f>
        <v>2219209</v>
      </c>
      <c r="E58" s="83">
        <f t="shared" si="21"/>
        <v>2694981</v>
      </c>
      <c r="F58" s="83">
        <f t="shared" si="21"/>
        <v>3517381</v>
      </c>
      <c r="G58" s="83">
        <f t="shared" si="21"/>
        <v>10788143</v>
      </c>
      <c r="H58" s="83">
        <f t="shared" si="21"/>
        <v>4661181</v>
      </c>
      <c r="I58" s="83">
        <f t="shared" si="21"/>
        <v>2869581</v>
      </c>
      <c r="J58" s="83">
        <f t="shared" si="21"/>
        <v>3257381</v>
      </c>
      <c r="K58" s="83">
        <f t="shared" si="21"/>
        <v>11269143</v>
      </c>
      <c r="L58" s="83">
        <f t="shared" si="21"/>
        <v>3709781</v>
      </c>
      <c r="M58" s="83">
        <f t="shared" si="21"/>
        <v>3489781</v>
      </c>
      <c r="N58" s="83">
        <f t="shared" si="21"/>
        <v>15558281</v>
      </c>
      <c r="O58" s="83">
        <f t="shared" si="21"/>
        <v>20555543</v>
      </c>
      <c r="P58" s="83">
        <f t="shared" si="21"/>
        <v>5419781</v>
      </c>
      <c r="Q58" s="83">
        <f t="shared" si="21"/>
        <v>7079781</v>
      </c>
      <c r="R58" s="83">
        <f t="shared" si="21"/>
        <v>8055981</v>
      </c>
      <c r="S58" s="106">
        <f>S6+S46</f>
        <v>24190095</v>
      </c>
      <c r="T58" s="106">
        <f>T6+T46</f>
        <v>47382338</v>
      </c>
      <c r="U58" s="108"/>
      <c r="V58" s="109"/>
    </row>
    <row r="59" spans="1:22" ht="56.25" customHeight="1">
      <c r="A59" s="147" t="s">
        <v>74</v>
      </c>
      <c r="B59" s="148"/>
      <c r="C59" s="148"/>
      <c r="D59" s="124"/>
      <c r="E59" s="124"/>
      <c r="F59" s="125"/>
      <c r="G59" s="126"/>
      <c r="H59" s="126"/>
      <c r="I59" s="125" t="s">
        <v>75</v>
      </c>
      <c r="J59" s="126"/>
      <c r="K59" s="127"/>
      <c r="L59" s="128"/>
      <c r="M59" s="126"/>
      <c r="N59" s="126"/>
      <c r="O59" s="126"/>
      <c r="P59" s="128"/>
      <c r="Q59" s="128"/>
      <c r="R59" s="126"/>
      <c r="S59" s="15">
        <f>B59-R59</f>
        <v>0</v>
      </c>
      <c r="T59" s="15"/>
      <c r="U59" s="108">
        <f>R58+Q58+P58+N58+M58+L58+J58+I58+H58+F58+E58+D58</f>
        <v>62533100</v>
      </c>
      <c r="V59" s="109"/>
    </row>
    <row r="60" spans="1:20" ht="40.5" customHeight="1">
      <c r="A60" s="17" t="s">
        <v>73</v>
      </c>
      <c r="B60" s="18"/>
      <c r="C60" s="17"/>
      <c r="D60" s="17"/>
      <c r="P60" s="17"/>
      <c r="Q60" s="17"/>
      <c r="S60" s="15">
        <f>B60-R60</f>
        <v>0</v>
      </c>
      <c r="T60" s="15"/>
    </row>
    <row r="61" spans="1:20" ht="40.5" customHeight="1">
      <c r="A61" s="27"/>
      <c r="B61" s="19"/>
      <c r="C61" s="16"/>
      <c r="D61" s="16"/>
      <c r="E61" s="16"/>
      <c r="F61" s="16"/>
      <c r="S61" s="15" t="e">
        <f>#REF!-R61</f>
        <v>#REF!</v>
      </c>
      <c r="T61" s="15"/>
    </row>
    <row r="62" spans="1:20" ht="12.75">
      <c r="A62" s="27"/>
      <c r="B62" s="19"/>
      <c r="C62" s="19"/>
      <c r="D62" s="19"/>
      <c r="E62" s="19"/>
      <c r="F62" s="19"/>
      <c r="G62" s="25"/>
      <c r="H62" s="25"/>
      <c r="I62" s="25"/>
      <c r="S62" s="15">
        <f>B61-R62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>
        <f>B63-R63</f>
        <v>0</v>
      </c>
      <c r="T63" s="15"/>
    </row>
    <row r="64" spans="1:20" ht="12.75" customHeight="1">
      <c r="A64" s="28"/>
      <c r="B64" s="29"/>
      <c r="C64" s="29"/>
      <c r="D64" s="29"/>
      <c r="E64" s="29"/>
      <c r="F64" s="29"/>
      <c r="G64" s="26"/>
      <c r="H64" s="26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15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7" ht="12.75">
      <c r="E107" s="3" t="s">
        <v>29</v>
      </c>
    </row>
  </sheetData>
  <sheetProtection/>
  <mergeCells count="5">
    <mergeCell ref="A2:R2"/>
    <mergeCell ref="A4:A5"/>
    <mergeCell ref="B4:B5"/>
    <mergeCell ref="D4:R4"/>
    <mergeCell ref="A59:C59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"/>
  <sheetViews>
    <sheetView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36.125" style="3" customWidth="1"/>
    <col min="2" max="2" width="13.125" style="3" customWidth="1"/>
    <col min="3" max="3" width="12.25390625" style="3" customWidth="1"/>
    <col min="4" max="4" width="14.25390625" style="3" customWidth="1"/>
    <col min="5" max="5" width="14.625" style="3" customWidth="1"/>
    <col min="6" max="6" width="12.875" style="3" customWidth="1"/>
    <col min="7" max="7" width="13.875" style="3" customWidth="1"/>
    <col min="8" max="8" width="11.625" style="3" customWidth="1"/>
    <col min="9" max="9" width="12.75390625" style="3" customWidth="1"/>
    <col min="10" max="10" width="11.75390625" style="3" customWidth="1"/>
    <col min="11" max="11" width="11.875" style="3" customWidth="1"/>
    <col min="12" max="12" width="13.25390625" style="3" customWidth="1"/>
    <col min="13" max="13" width="13.375" style="3" customWidth="1"/>
    <col min="14" max="14" width="12.625" style="3" customWidth="1"/>
    <col min="15" max="15" width="13.125" style="3" customWidth="1"/>
    <col min="16" max="16" width="12.375" style="3" customWidth="1"/>
    <col min="17" max="17" width="10.75390625" style="3" customWidth="1"/>
    <col min="18" max="18" width="11.875" style="3" customWidth="1"/>
    <col min="19" max="19" width="7.75390625" style="3" hidden="1" customWidth="1"/>
    <col min="20" max="20" width="13.125" style="3" hidden="1" customWidth="1"/>
    <col min="21" max="21" width="15.375" style="3" customWidth="1"/>
    <col min="22" max="16384" width="9.125" style="3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39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4"/>
      <c r="T2" s="4"/>
    </row>
    <row r="3" spans="1:20" ht="18" customHeight="1">
      <c r="A3" s="23"/>
      <c r="B3" s="24"/>
      <c r="C3" s="24"/>
      <c r="D3" s="24"/>
      <c r="E3" s="32"/>
      <c r="F3" s="34"/>
      <c r="G3" s="43"/>
      <c r="H3" s="11"/>
      <c r="I3" s="11"/>
      <c r="J3" s="11"/>
      <c r="K3" s="11"/>
      <c r="L3" s="11"/>
      <c r="M3" s="11"/>
      <c r="N3" s="11"/>
      <c r="O3" s="32"/>
      <c r="P3" s="32"/>
      <c r="Q3" s="11"/>
      <c r="R3" s="11"/>
      <c r="S3" s="30" t="e">
        <f>B6-#REF!</f>
        <v>#REF!</v>
      </c>
      <c r="T3" s="1"/>
    </row>
    <row r="4" spans="1:20" ht="18" customHeight="1">
      <c r="A4" s="141" t="s">
        <v>0</v>
      </c>
      <c r="B4" s="141" t="s">
        <v>1</v>
      </c>
      <c r="C4" s="33"/>
      <c r="D4" s="144" t="s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31" t="e">
        <f>#REF!+#REF!+#REF!+#REF!+#REF!+#REF!+#REF!+#REF!+#REF!+#REF!+#REF!+#REF!</f>
        <v>#REF!</v>
      </c>
      <c r="T4" s="13"/>
    </row>
    <row r="5" spans="1:19" ht="21" customHeight="1">
      <c r="A5" s="142"/>
      <c r="B5" s="143"/>
      <c r="C5" s="12" t="s">
        <v>6</v>
      </c>
      <c r="D5" s="5" t="s">
        <v>3</v>
      </c>
      <c r="E5" s="5" t="s">
        <v>4</v>
      </c>
      <c r="F5" s="5" t="s">
        <v>5</v>
      </c>
      <c r="G5" s="12" t="s">
        <v>10</v>
      </c>
      <c r="H5" s="5" t="s">
        <v>7</v>
      </c>
      <c r="I5" s="5" t="s">
        <v>8</v>
      </c>
      <c r="J5" s="5" t="s">
        <v>9</v>
      </c>
      <c r="K5" s="12" t="s">
        <v>14</v>
      </c>
      <c r="L5" s="5" t="s">
        <v>11</v>
      </c>
      <c r="M5" s="5" t="s">
        <v>12</v>
      </c>
      <c r="N5" s="5" t="s">
        <v>13</v>
      </c>
      <c r="O5" s="10" t="s">
        <v>18</v>
      </c>
      <c r="P5" s="5" t="s">
        <v>15</v>
      </c>
      <c r="Q5" s="5" t="s">
        <v>16</v>
      </c>
      <c r="R5" s="5" t="s">
        <v>17</v>
      </c>
      <c r="S5" s="9"/>
    </row>
    <row r="6" spans="1:21" ht="18" customHeight="1" thickBot="1">
      <c r="A6" s="14" t="s">
        <v>58</v>
      </c>
      <c r="B6" s="77">
        <f>B7+B8+B9+B10+B12+B13+B14+B15+B17+B18+B19+B20+B24+B25+B27+B33+B39+B44</f>
        <v>49570800</v>
      </c>
      <c r="C6" s="77">
        <f aca="true" t="shared" si="0" ref="C6:R6">C11+C16+C17+C18+C21+C22+C23+C25+C26+C27+C28+C31+C34+C37+C44</f>
        <v>8326171</v>
      </c>
      <c r="D6" s="77">
        <f>D7+D12+D13+D14+D18+D19+D20+D25</f>
        <v>2219209</v>
      </c>
      <c r="E6" s="77">
        <f t="shared" si="0"/>
        <v>2659581</v>
      </c>
      <c r="F6" s="77">
        <f t="shared" si="0"/>
        <v>3447381</v>
      </c>
      <c r="G6" s="77">
        <f t="shared" si="0"/>
        <v>10680543</v>
      </c>
      <c r="H6" s="77">
        <f>H11+H16+H17+H18+H21+H22+H23+H25+H26+H27+H28+H31+H34+H37+H44</f>
        <v>4643581</v>
      </c>
      <c r="I6" s="77">
        <f t="shared" si="0"/>
        <v>2839581</v>
      </c>
      <c r="J6" s="77">
        <f t="shared" si="0"/>
        <v>3197381</v>
      </c>
      <c r="K6" s="77">
        <f t="shared" si="0"/>
        <v>11181043</v>
      </c>
      <c r="L6" s="77">
        <f t="shared" si="0"/>
        <v>3709781</v>
      </c>
      <c r="M6" s="77">
        <f t="shared" si="0"/>
        <v>3439781</v>
      </c>
      <c r="N6" s="77">
        <f>N11+N16+N17+N18+N21+N22+N23+N25+N26+N27+N28+N31+N34+N37+N44</f>
        <v>4046481</v>
      </c>
      <c r="O6" s="77">
        <f t="shared" si="0"/>
        <v>19383043</v>
      </c>
      <c r="P6" s="77">
        <f t="shared" si="0"/>
        <v>5359781</v>
      </c>
      <c r="Q6" s="77">
        <f t="shared" si="0"/>
        <v>7049781</v>
      </c>
      <c r="R6" s="98">
        <f t="shared" si="0"/>
        <v>6973481</v>
      </c>
      <c r="S6" s="64">
        <f aca="true" t="shared" si="1" ref="S6:S22">D6+E6+F6+H6+I6+J6+L6</f>
        <v>22716495</v>
      </c>
      <c r="T6" s="65">
        <f aca="true" t="shared" si="2" ref="T6:T22">B6-Q6-R6</f>
        <v>35547538</v>
      </c>
      <c r="U6" s="66"/>
    </row>
    <row r="7" spans="1:21" ht="15" customHeight="1">
      <c r="A7" s="6" t="s">
        <v>19</v>
      </c>
      <c r="B7" s="76">
        <f>C7+G7+K7+O7</f>
        <v>18003000</v>
      </c>
      <c r="C7" s="76">
        <f>SUM(D7:F7)</f>
        <v>3700000</v>
      </c>
      <c r="D7" s="78">
        <v>1100000</v>
      </c>
      <c r="E7" s="78">
        <v>1100000</v>
      </c>
      <c r="F7" s="78">
        <v>1500000</v>
      </c>
      <c r="G7" s="76">
        <f>H7+I7+J7</f>
        <v>4600000</v>
      </c>
      <c r="H7" s="78">
        <v>1500000</v>
      </c>
      <c r="I7" s="78">
        <v>1500000</v>
      </c>
      <c r="J7" s="78">
        <v>1600000</v>
      </c>
      <c r="K7" s="76">
        <f>L7+M7+N7</f>
        <v>4700000</v>
      </c>
      <c r="L7" s="78">
        <v>1600000</v>
      </c>
      <c r="M7" s="78">
        <v>1600000</v>
      </c>
      <c r="N7" s="78">
        <v>1500000</v>
      </c>
      <c r="O7" s="79">
        <f>P7+Q7+R7</f>
        <v>5003000</v>
      </c>
      <c r="P7" s="78">
        <v>1500000</v>
      </c>
      <c r="Q7" s="78">
        <v>1500000</v>
      </c>
      <c r="R7" s="76">
        <v>2003000</v>
      </c>
      <c r="S7" s="64">
        <f t="shared" si="1"/>
        <v>9900000</v>
      </c>
      <c r="T7" s="65">
        <f t="shared" si="2"/>
        <v>14500000</v>
      </c>
      <c r="U7" s="66"/>
    </row>
    <row r="8" spans="1:21" ht="12.75" customHeight="1">
      <c r="A8" s="20" t="s">
        <v>30</v>
      </c>
      <c r="B8" s="76">
        <f>C8+G8+K8+O8</f>
        <v>62600</v>
      </c>
      <c r="C8" s="76">
        <f>SUM(D8:F8)</f>
        <v>500</v>
      </c>
      <c r="D8" s="80">
        <v>0</v>
      </c>
      <c r="E8" s="80">
        <v>0</v>
      </c>
      <c r="F8" s="80">
        <v>500</v>
      </c>
      <c r="G8" s="76">
        <f>H8+I8+J8</f>
        <v>500</v>
      </c>
      <c r="H8" s="80">
        <f>17600-17600</f>
        <v>0</v>
      </c>
      <c r="I8" s="80">
        <v>0</v>
      </c>
      <c r="J8" s="80">
        <v>500</v>
      </c>
      <c r="K8" s="76">
        <f>L8+M8+N8</f>
        <v>500</v>
      </c>
      <c r="L8" s="80">
        <f>17600-400-17200</f>
        <v>0</v>
      </c>
      <c r="M8" s="80">
        <f>0+17200-17200</f>
        <v>0</v>
      </c>
      <c r="N8" s="80">
        <v>500</v>
      </c>
      <c r="O8" s="79">
        <f>P8+Q8+R8</f>
        <v>61100</v>
      </c>
      <c r="P8" s="80">
        <f>17400-17400</f>
        <v>0</v>
      </c>
      <c r="Q8" s="80">
        <v>0</v>
      </c>
      <c r="R8" s="76">
        <v>61100</v>
      </c>
      <c r="S8" s="64">
        <f t="shared" si="1"/>
        <v>1000</v>
      </c>
      <c r="T8" s="65">
        <f t="shared" si="2"/>
        <v>1500</v>
      </c>
      <c r="U8" s="66"/>
    </row>
    <row r="9" spans="1:21" ht="12.75" customHeight="1">
      <c r="A9" s="20" t="s">
        <v>20</v>
      </c>
      <c r="B9" s="76">
        <f>C9+G9+K9+O9</f>
        <v>695600</v>
      </c>
      <c r="C9" s="76">
        <f>SUM(D9:F9)</f>
        <v>100000</v>
      </c>
      <c r="D9" s="80">
        <v>0</v>
      </c>
      <c r="E9" s="80">
        <v>0</v>
      </c>
      <c r="F9" s="80">
        <v>100000</v>
      </c>
      <c r="G9" s="76">
        <f>H9+I9+J9</f>
        <v>170000</v>
      </c>
      <c r="H9" s="80">
        <v>0</v>
      </c>
      <c r="I9" s="80">
        <v>0</v>
      </c>
      <c r="J9" s="80">
        <v>170000</v>
      </c>
      <c r="K9" s="76">
        <f>L9+M9+N9</f>
        <v>180000</v>
      </c>
      <c r="L9" s="80">
        <v>0</v>
      </c>
      <c r="M9" s="80">
        <v>0</v>
      </c>
      <c r="N9" s="80">
        <v>180000</v>
      </c>
      <c r="O9" s="79">
        <f>P9+Q9+R9</f>
        <v>245600</v>
      </c>
      <c r="P9" s="80">
        <v>0</v>
      </c>
      <c r="Q9" s="80">
        <v>0</v>
      </c>
      <c r="R9" s="76">
        <f>170000+75600</f>
        <v>245600</v>
      </c>
      <c r="S9" s="64">
        <f t="shared" si="1"/>
        <v>270000</v>
      </c>
      <c r="T9" s="65">
        <f t="shared" si="2"/>
        <v>450000</v>
      </c>
      <c r="U9" s="66"/>
    </row>
    <row r="10" spans="1:21" ht="12.75" customHeight="1">
      <c r="A10" s="7" t="s">
        <v>21</v>
      </c>
      <c r="B10" s="76">
        <f>C10+G10+K10+O10</f>
        <v>118400</v>
      </c>
      <c r="C10" s="76">
        <f>SUM(D10:F10)</f>
        <v>15000</v>
      </c>
      <c r="D10" s="80">
        <v>0</v>
      </c>
      <c r="E10" s="80">
        <v>0</v>
      </c>
      <c r="F10" s="80">
        <v>15000</v>
      </c>
      <c r="G10" s="76">
        <f>H10+I10+J10</f>
        <v>15000</v>
      </c>
      <c r="H10" s="80">
        <v>0</v>
      </c>
      <c r="I10" s="80">
        <v>0</v>
      </c>
      <c r="J10" s="80">
        <v>15000</v>
      </c>
      <c r="K10" s="76">
        <v>15000</v>
      </c>
      <c r="L10" s="80">
        <v>0</v>
      </c>
      <c r="M10" s="80">
        <v>0</v>
      </c>
      <c r="N10" s="80">
        <v>30000</v>
      </c>
      <c r="O10" s="79">
        <f>P10+Q10+R10</f>
        <v>73400</v>
      </c>
      <c r="P10" s="80">
        <v>0</v>
      </c>
      <c r="Q10" s="80">
        <v>0</v>
      </c>
      <c r="R10" s="76">
        <f>73400</f>
        <v>73400</v>
      </c>
      <c r="S10" s="64">
        <f t="shared" si="1"/>
        <v>30000</v>
      </c>
      <c r="T10" s="65">
        <f t="shared" si="2"/>
        <v>45000</v>
      </c>
      <c r="U10" s="66"/>
    </row>
    <row r="11" spans="1:21" ht="12.75" customHeight="1">
      <c r="A11" s="36" t="s">
        <v>22</v>
      </c>
      <c r="B11" s="81">
        <f>SUM(B7:B10)</f>
        <v>18879600</v>
      </c>
      <c r="C11" s="81">
        <f aca="true" t="shared" si="3" ref="C11:R11">SUM(C7:C10)</f>
        <v>3815500</v>
      </c>
      <c r="D11" s="81">
        <f t="shared" si="3"/>
        <v>1100000</v>
      </c>
      <c r="E11" s="81">
        <f t="shared" si="3"/>
        <v>1100000</v>
      </c>
      <c r="F11" s="81">
        <f t="shared" si="3"/>
        <v>1615500</v>
      </c>
      <c r="G11" s="81">
        <f t="shared" si="3"/>
        <v>4785500</v>
      </c>
      <c r="H11" s="81">
        <f t="shared" si="3"/>
        <v>1500000</v>
      </c>
      <c r="I11" s="81">
        <f t="shared" si="3"/>
        <v>1500000</v>
      </c>
      <c r="J11" s="81">
        <f t="shared" si="3"/>
        <v>1785500</v>
      </c>
      <c r="K11" s="81">
        <f t="shared" si="3"/>
        <v>4895500</v>
      </c>
      <c r="L11" s="81">
        <f t="shared" si="3"/>
        <v>1600000</v>
      </c>
      <c r="M11" s="81">
        <f t="shared" si="3"/>
        <v>1600000</v>
      </c>
      <c r="N11" s="81">
        <f t="shared" si="3"/>
        <v>1710500</v>
      </c>
      <c r="O11" s="83">
        <f t="shared" si="3"/>
        <v>5383100</v>
      </c>
      <c r="P11" s="81">
        <f t="shared" si="3"/>
        <v>1500000</v>
      </c>
      <c r="Q11" s="81">
        <f t="shared" si="3"/>
        <v>1500000</v>
      </c>
      <c r="R11" s="83">
        <f t="shared" si="3"/>
        <v>2383100</v>
      </c>
      <c r="S11" s="67">
        <f t="shared" si="1"/>
        <v>10201000</v>
      </c>
      <c r="T11" s="68">
        <f t="shared" si="2"/>
        <v>14996500</v>
      </c>
      <c r="U11" s="66"/>
    </row>
    <row r="12" spans="1:21" ht="12.75" customHeight="1">
      <c r="A12" s="7" t="s">
        <v>35</v>
      </c>
      <c r="B12" s="80">
        <f>C12+G12+K12+O12</f>
        <v>2983700</v>
      </c>
      <c r="C12" s="80">
        <f>D12+E12+F12</f>
        <v>600000</v>
      </c>
      <c r="D12" s="80">
        <v>250000</v>
      </c>
      <c r="E12" s="80">
        <v>100000</v>
      </c>
      <c r="F12" s="80">
        <v>250000</v>
      </c>
      <c r="G12" s="80">
        <f>H12+I12+J12</f>
        <v>850000</v>
      </c>
      <c r="H12" s="80">
        <v>350000</v>
      </c>
      <c r="I12" s="80">
        <v>250000</v>
      </c>
      <c r="J12" s="80">
        <v>250000</v>
      </c>
      <c r="K12" s="80">
        <f>L12+M12+N12</f>
        <v>850000</v>
      </c>
      <c r="L12" s="80">
        <v>250000</v>
      </c>
      <c r="M12" s="80">
        <v>250000</v>
      </c>
      <c r="N12" s="80">
        <v>350000</v>
      </c>
      <c r="O12" s="80">
        <f>P12+Q12+R12</f>
        <v>683700</v>
      </c>
      <c r="P12" s="80">
        <v>250000</v>
      </c>
      <c r="Q12" s="80">
        <v>250000</v>
      </c>
      <c r="R12" s="76">
        <f>150000+33700</f>
        <v>183700</v>
      </c>
      <c r="S12" s="64">
        <f t="shared" si="1"/>
        <v>1700000</v>
      </c>
      <c r="T12" s="65">
        <f t="shared" si="2"/>
        <v>2550000</v>
      </c>
      <c r="U12" s="66"/>
    </row>
    <row r="13" spans="1:21" ht="12.75" customHeight="1">
      <c r="A13" s="7" t="s">
        <v>36</v>
      </c>
      <c r="B13" s="80">
        <f>C13+G13+K13+O13</f>
        <v>29600</v>
      </c>
      <c r="C13" s="80">
        <f>D13+E13+F13</f>
        <v>5400</v>
      </c>
      <c r="D13" s="80">
        <v>1800</v>
      </c>
      <c r="E13" s="80">
        <v>1800</v>
      </c>
      <c r="F13" s="80">
        <v>1800</v>
      </c>
      <c r="G13" s="80">
        <f>H13+I13+J13</f>
        <v>5400</v>
      </c>
      <c r="H13" s="80">
        <v>1800</v>
      </c>
      <c r="I13" s="80">
        <v>1800</v>
      </c>
      <c r="J13" s="80">
        <v>1800</v>
      </c>
      <c r="K13" s="80">
        <f>L13+M13+N13</f>
        <v>11000</v>
      </c>
      <c r="L13" s="80">
        <v>2000</v>
      </c>
      <c r="M13" s="80">
        <v>2000</v>
      </c>
      <c r="N13" s="80">
        <v>7000</v>
      </c>
      <c r="O13" s="80">
        <f>P13+Q13+R13</f>
        <v>7800</v>
      </c>
      <c r="P13" s="80">
        <v>2000</v>
      </c>
      <c r="Q13" s="80">
        <v>2000</v>
      </c>
      <c r="R13" s="76">
        <v>3800</v>
      </c>
      <c r="S13" s="64">
        <f t="shared" si="1"/>
        <v>12800</v>
      </c>
      <c r="T13" s="65">
        <f t="shared" si="2"/>
        <v>23800</v>
      </c>
      <c r="U13" s="66"/>
    </row>
    <row r="14" spans="1:21" ht="12.75" customHeight="1">
      <c r="A14" s="7" t="s">
        <v>34</v>
      </c>
      <c r="B14" s="80">
        <f>C14+G14+K14+O14</f>
        <v>3568900</v>
      </c>
      <c r="C14" s="80">
        <f>D14+E14+F14</f>
        <v>750000</v>
      </c>
      <c r="D14" s="80">
        <v>150000</v>
      </c>
      <c r="E14" s="80">
        <v>150000</v>
      </c>
      <c r="F14" s="80">
        <v>450000</v>
      </c>
      <c r="G14" s="80">
        <f>H14+I14+J14</f>
        <v>900000</v>
      </c>
      <c r="H14" s="80">
        <v>300000</v>
      </c>
      <c r="I14" s="80">
        <v>300000</v>
      </c>
      <c r="J14" s="80">
        <v>300000</v>
      </c>
      <c r="K14" s="80">
        <f>L14+M14+N14</f>
        <v>1018900</v>
      </c>
      <c r="L14" s="80">
        <v>300000</v>
      </c>
      <c r="M14" s="80">
        <v>300000</v>
      </c>
      <c r="N14" s="80">
        <v>418900</v>
      </c>
      <c r="O14" s="80">
        <f>P14+Q14+R14</f>
        <v>900000</v>
      </c>
      <c r="P14" s="80">
        <v>300000</v>
      </c>
      <c r="Q14" s="80">
        <v>300000</v>
      </c>
      <c r="R14" s="76">
        <v>300000</v>
      </c>
      <c r="S14" s="64">
        <f t="shared" si="1"/>
        <v>1950000</v>
      </c>
      <c r="T14" s="65">
        <f t="shared" si="2"/>
        <v>2968900</v>
      </c>
      <c r="U14" s="66"/>
    </row>
    <row r="15" spans="1:21" ht="12.75" customHeight="1">
      <c r="A15" s="7" t="s">
        <v>37</v>
      </c>
      <c r="B15" s="80">
        <f>C15+G15+K15+O15</f>
        <v>0</v>
      </c>
      <c r="C15" s="80">
        <f>D15+E15+F15</f>
        <v>0</v>
      </c>
      <c r="D15" s="80">
        <v>0</v>
      </c>
      <c r="E15" s="80">
        <v>0</v>
      </c>
      <c r="F15" s="80">
        <v>0</v>
      </c>
      <c r="G15" s="80">
        <f>H15+I15+J15</f>
        <v>0</v>
      </c>
      <c r="H15" s="80">
        <v>0</v>
      </c>
      <c r="I15" s="80">
        <v>0</v>
      </c>
      <c r="J15" s="80">
        <v>0</v>
      </c>
      <c r="K15" s="80">
        <f>L15+M15+N15</f>
        <v>0</v>
      </c>
      <c r="L15" s="80">
        <v>0</v>
      </c>
      <c r="M15" s="80">
        <v>0</v>
      </c>
      <c r="N15" s="80">
        <v>0</v>
      </c>
      <c r="O15" s="80">
        <f>P15+Q15+R15</f>
        <v>0</v>
      </c>
      <c r="P15" s="80">
        <v>0</v>
      </c>
      <c r="Q15" s="80">
        <v>0</v>
      </c>
      <c r="R15" s="76">
        <v>0</v>
      </c>
      <c r="S15" s="64">
        <f t="shared" si="1"/>
        <v>0</v>
      </c>
      <c r="T15" s="65">
        <f t="shared" si="2"/>
        <v>0</v>
      </c>
      <c r="U15" s="66"/>
    </row>
    <row r="16" spans="1:21" ht="12.75" customHeight="1">
      <c r="A16" s="40" t="s">
        <v>38</v>
      </c>
      <c r="B16" s="82">
        <f>B15+B14+B13+B12</f>
        <v>6582200</v>
      </c>
      <c r="C16" s="82">
        <f aca="true" t="shared" si="4" ref="C16:R16">C15+C14+C13+C12</f>
        <v>1355400</v>
      </c>
      <c r="D16" s="82">
        <f t="shared" si="4"/>
        <v>401800</v>
      </c>
      <c r="E16" s="82">
        <f t="shared" si="4"/>
        <v>251800</v>
      </c>
      <c r="F16" s="82">
        <f t="shared" si="4"/>
        <v>701800</v>
      </c>
      <c r="G16" s="82">
        <f t="shared" si="4"/>
        <v>1755400</v>
      </c>
      <c r="H16" s="82">
        <f t="shared" si="4"/>
        <v>651800</v>
      </c>
      <c r="I16" s="82">
        <f t="shared" si="4"/>
        <v>551800</v>
      </c>
      <c r="J16" s="82">
        <f t="shared" si="4"/>
        <v>551800</v>
      </c>
      <c r="K16" s="82">
        <f t="shared" si="4"/>
        <v>1879900</v>
      </c>
      <c r="L16" s="82">
        <f t="shared" si="4"/>
        <v>552000</v>
      </c>
      <c r="M16" s="82">
        <f t="shared" si="4"/>
        <v>552000</v>
      </c>
      <c r="N16" s="82">
        <f t="shared" si="4"/>
        <v>775900</v>
      </c>
      <c r="O16" s="82">
        <f t="shared" si="4"/>
        <v>1591500</v>
      </c>
      <c r="P16" s="82">
        <f t="shared" si="4"/>
        <v>552000</v>
      </c>
      <c r="Q16" s="82">
        <f t="shared" si="4"/>
        <v>552000</v>
      </c>
      <c r="R16" s="93">
        <f t="shared" si="4"/>
        <v>487500</v>
      </c>
      <c r="S16" s="67">
        <f t="shared" si="1"/>
        <v>3662800</v>
      </c>
      <c r="T16" s="68">
        <f t="shared" si="2"/>
        <v>5542700</v>
      </c>
      <c r="U16" s="66"/>
    </row>
    <row r="17" spans="1:21" ht="12.75" customHeight="1">
      <c r="A17" s="41" t="s">
        <v>43</v>
      </c>
      <c r="B17" s="84">
        <f>C17+G17+K17+O17</f>
        <v>2750000</v>
      </c>
      <c r="C17" s="85">
        <f>D17+E17+F17</f>
        <v>0</v>
      </c>
      <c r="D17" s="84">
        <v>0</v>
      </c>
      <c r="E17" s="84">
        <v>0</v>
      </c>
      <c r="F17" s="84">
        <v>0</v>
      </c>
      <c r="G17" s="85">
        <f>H17+I17+J17</f>
        <v>1850000</v>
      </c>
      <c r="H17" s="84">
        <v>1850000</v>
      </c>
      <c r="I17" s="84">
        <v>0</v>
      </c>
      <c r="J17" s="85">
        <v>0</v>
      </c>
      <c r="K17" s="86">
        <f>L17+M17+N17</f>
        <v>900000</v>
      </c>
      <c r="L17" s="84">
        <v>900000</v>
      </c>
      <c r="M17" s="84">
        <v>0</v>
      </c>
      <c r="N17" s="84">
        <v>0</v>
      </c>
      <c r="O17" s="85">
        <f>P17+Q17+R17</f>
        <v>0</v>
      </c>
      <c r="P17" s="84">
        <v>0</v>
      </c>
      <c r="Q17" s="84">
        <v>0</v>
      </c>
      <c r="R17" s="85">
        <f>0+100000-100000</f>
        <v>0</v>
      </c>
      <c r="S17" s="67">
        <f>D17+E17+F17+H17+I17+J17+L17</f>
        <v>2750000</v>
      </c>
      <c r="T17" s="68">
        <f t="shared" si="2"/>
        <v>2750000</v>
      </c>
      <c r="U17" s="66"/>
    </row>
    <row r="18" spans="1:21" ht="12.75" customHeight="1">
      <c r="A18" s="37" t="s">
        <v>44</v>
      </c>
      <c r="B18" s="87">
        <f>C18+G18+K18+O18</f>
        <v>4200000</v>
      </c>
      <c r="C18" s="88">
        <f>D18+E18+F18</f>
        <v>40000</v>
      </c>
      <c r="D18" s="87">
        <v>20000</v>
      </c>
      <c r="E18" s="87">
        <v>10000</v>
      </c>
      <c r="F18" s="87">
        <v>10000</v>
      </c>
      <c r="G18" s="88">
        <f>H18+I18+J18</f>
        <v>100000</v>
      </c>
      <c r="H18" s="87">
        <v>20000</v>
      </c>
      <c r="I18" s="87">
        <v>20000</v>
      </c>
      <c r="J18" s="88">
        <f>50000+10000</f>
        <v>60000</v>
      </c>
      <c r="K18" s="89">
        <f>L18+M18+N18</f>
        <v>550000</v>
      </c>
      <c r="L18" s="87">
        <f>150000-100000</f>
        <v>50000</v>
      </c>
      <c r="M18" s="87">
        <v>150000</v>
      </c>
      <c r="N18" s="87">
        <v>350000</v>
      </c>
      <c r="O18" s="88">
        <f>P18+Q18+R18</f>
        <v>3510000</v>
      </c>
      <c r="P18" s="87">
        <v>500000</v>
      </c>
      <c r="Q18" s="87">
        <v>1500000</v>
      </c>
      <c r="R18" s="88">
        <v>1510000</v>
      </c>
      <c r="S18" s="69">
        <f t="shared" si="1"/>
        <v>190000</v>
      </c>
      <c r="T18" s="70">
        <f t="shared" si="2"/>
        <v>1190000</v>
      </c>
      <c r="U18" s="66"/>
    </row>
    <row r="19" spans="1:21" s="123" customFormat="1" ht="12.75" customHeight="1">
      <c r="A19" s="117" t="s">
        <v>45</v>
      </c>
      <c r="B19" s="118">
        <f>C19+G19+K19+O19</f>
        <v>5200000</v>
      </c>
      <c r="C19" s="119">
        <f>D19+E19+F19</f>
        <v>2400000</v>
      </c>
      <c r="D19" s="118">
        <v>400000</v>
      </c>
      <c r="E19" s="118">
        <v>1100000</v>
      </c>
      <c r="F19" s="118">
        <v>900000</v>
      </c>
      <c r="G19" s="119">
        <f>H19+I19+J19</f>
        <v>1220000</v>
      </c>
      <c r="H19" s="118">
        <v>300000</v>
      </c>
      <c r="I19" s="118">
        <v>400000</v>
      </c>
      <c r="J19" s="118">
        <v>520000</v>
      </c>
      <c r="K19" s="119">
        <f>L19+M19+N19</f>
        <v>780000</v>
      </c>
      <c r="L19" s="118">
        <v>400000</v>
      </c>
      <c r="M19" s="118">
        <v>300000</v>
      </c>
      <c r="N19" s="118">
        <v>80000</v>
      </c>
      <c r="O19" s="119">
        <f>P19+Q19+R19</f>
        <v>800000</v>
      </c>
      <c r="P19" s="118">
        <v>300000</v>
      </c>
      <c r="Q19" s="118">
        <v>400000</v>
      </c>
      <c r="R19" s="119">
        <v>100000</v>
      </c>
      <c r="S19" s="120">
        <f t="shared" si="1"/>
        <v>4020000</v>
      </c>
      <c r="T19" s="121">
        <f t="shared" si="2"/>
        <v>4700000</v>
      </c>
      <c r="U19" s="122"/>
    </row>
    <row r="20" spans="1:21" ht="12.75" customHeight="1">
      <c r="A20" s="7" t="s">
        <v>46</v>
      </c>
      <c r="B20" s="80">
        <f>C20+G20+K20+O20</f>
        <v>8700000</v>
      </c>
      <c r="C20" s="79">
        <f>D20+E20+F20</f>
        <v>400000</v>
      </c>
      <c r="D20" s="80">
        <v>200000</v>
      </c>
      <c r="E20" s="80">
        <v>100000</v>
      </c>
      <c r="F20" s="80">
        <v>100000</v>
      </c>
      <c r="G20" s="79">
        <f>H20+I20+J20</f>
        <v>600000</v>
      </c>
      <c r="H20" s="80">
        <v>200000</v>
      </c>
      <c r="I20" s="80">
        <v>250000</v>
      </c>
      <c r="J20" s="80">
        <v>150000</v>
      </c>
      <c r="K20" s="79">
        <f>L20+M20+N20</f>
        <v>1800000</v>
      </c>
      <c r="L20" s="80">
        <v>100000</v>
      </c>
      <c r="M20" s="80">
        <v>700000</v>
      </c>
      <c r="N20" s="80">
        <v>1000000</v>
      </c>
      <c r="O20" s="79">
        <f>P20+Q20+R20</f>
        <v>5900000</v>
      </c>
      <c r="P20" s="80">
        <f>2400000</f>
        <v>2400000</v>
      </c>
      <c r="Q20" s="80">
        <v>3000000</v>
      </c>
      <c r="R20" s="76">
        <v>500000</v>
      </c>
      <c r="S20" s="64">
        <f t="shared" si="1"/>
        <v>1100000</v>
      </c>
      <c r="T20" s="65">
        <f t="shared" si="2"/>
        <v>5200000</v>
      </c>
      <c r="U20" s="66"/>
    </row>
    <row r="21" spans="1:21" ht="12.75" customHeight="1">
      <c r="A21" s="42" t="s">
        <v>26</v>
      </c>
      <c r="B21" s="90">
        <f>B20+B19</f>
        <v>13900000</v>
      </c>
      <c r="C21" s="90">
        <f aca="true" t="shared" si="5" ref="C21:R21">C20+C19</f>
        <v>2800000</v>
      </c>
      <c r="D21" s="90">
        <f t="shared" si="5"/>
        <v>600000</v>
      </c>
      <c r="E21" s="90">
        <f t="shared" si="5"/>
        <v>1200000</v>
      </c>
      <c r="F21" s="90">
        <f t="shared" si="5"/>
        <v>1000000</v>
      </c>
      <c r="G21" s="90">
        <f t="shared" si="5"/>
        <v>1820000</v>
      </c>
      <c r="H21" s="90">
        <f t="shared" si="5"/>
        <v>500000</v>
      </c>
      <c r="I21" s="90">
        <f t="shared" si="5"/>
        <v>650000</v>
      </c>
      <c r="J21" s="90">
        <f t="shared" si="5"/>
        <v>670000</v>
      </c>
      <c r="K21" s="90">
        <f t="shared" si="5"/>
        <v>2580000</v>
      </c>
      <c r="L21" s="90">
        <f t="shared" si="5"/>
        <v>500000</v>
      </c>
      <c r="M21" s="90">
        <f t="shared" si="5"/>
        <v>1000000</v>
      </c>
      <c r="N21" s="90">
        <f t="shared" si="5"/>
        <v>1080000</v>
      </c>
      <c r="O21" s="90">
        <f t="shared" si="5"/>
        <v>6700000</v>
      </c>
      <c r="P21" s="90">
        <f t="shared" si="5"/>
        <v>2700000</v>
      </c>
      <c r="Q21" s="90">
        <f t="shared" si="5"/>
        <v>3400000</v>
      </c>
      <c r="R21" s="115">
        <f t="shared" si="5"/>
        <v>600000</v>
      </c>
      <c r="S21" s="69">
        <f t="shared" si="1"/>
        <v>5120000</v>
      </c>
      <c r="T21" s="70">
        <f t="shared" si="2"/>
        <v>9900000</v>
      </c>
      <c r="U21" s="66"/>
    </row>
    <row r="22" spans="1:21" ht="24.75" customHeight="1">
      <c r="A22" s="44" t="s">
        <v>47</v>
      </c>
      <c r="B22" s="91">
        <f>C22+G22+K22+O22</f>
        <v>0</v>
      </c>
      <c r="C22" s="91">
        <f aca="true" t="shared" si="6" ref="C22:C27">D22+E22+F22</f>
        <v>0</v>
      </c>
      <c r="D22" s="91">
        <v>0</v>
      </c>
      <c r="E22" s="91">
        <v>0</v>
      </c>
      <c r="F22" s="91">
        <v>0</v>
      </c>
      <c r="G22" s="91">
        <f>H22+I22+J22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f>P22+Q22+R22</f>
        <v>0</v>
      </c>
      <c r="P22" s="91">
        <v>0</v>
      </c>
      <c r="Q22" s="91">
        <v>0</v>
      </c>
      <c r="R22" s="116">
        <v>0</v>
      </c>
      <c r="S22" s="64">
        <f t="shared" si="1"/>
        <v>0</v>
      </c>
      <c r="T22" s="65">
        <f t="shared" si="2"/>
        <v>0</v>
      </c>
      <c r="U22" s="66"/>
    </row>
    <row r="23" spans="1:21" ht="13.5" customHeight="1">
      <c r="A23" s="63" t="s">
        <v>23</v>
      </c>
      <c r="B23" s="92">
        <f>B24</f>
        <v>89200</v>
      </c>
      <c r="C23" s="92">
        <f t="shared" si="6"/>
        <v>22300</v>
      </c>
      <c r="D23" s="92">
        <v>0</v>
      </c>
      <c r="E23" s="92">
        <f aca="true" t="shared" si="7" ref="E23:R23">E24</f>
        <v>0</v>
      </c>
      <c r="F23" s="92">
        <f t="shared" si="7"/>
        <v>22300</v>
      </c>
      <c r="G23" s="92">
        <f t="shared" si="7"/>
        <v>22300</v>
      </c>
      <c r="H23" s="92">
        <f t="shared" si="7"/>
        <v>0</v>
      </c>
      <c r="I23" s="92">
        <f t="shared" si="7"/>
        <v>0</v>
      </c>
      <c r="J23" s="92">
        <f t="shared" si="7"/>
        <v>22300</v>
      </c>
      <c r="K23" s="92">
        <f t="shared" si="7"/>
        <v>22300</v>
      </c>
      <c r="L23" s="92">
        <f t="shared" si="7"/>
        <v>0</v>
      </c>
      <c r="M23" s="92">
        <f t="shared" si="7"/>
        <v>0</v>
      </c>
      <c r="N23" s="92">
        <f t="shared" si="7"/>
        <v>22300</v>
      </c>
      <c r="O23" s="92">
        <f t="shared" si="7"/>
        <v>22300</v>
      </c>
      <c r="P23" s="92">
        <f t="shared" si="7"/>
        <v>0</v>
      </c>
      <c r="Q23" s="92">
        <f t="shared" si="7"/>
        <v>0</v>
      </c>
      <c r="R23" s="92">
        <f t="shared" si="7"/>
        <v>22300</v>
      </c>
      <c r="S23" s="92" t="e">
        <f>#REF!+#REF!+#REF!+#REF!+#REF!+S24</f>
        <v>#REF!</v>
      </c>
      <c r="T23" s="92" t="e">
        <f>#REF!+#REF!+#REF!+#REF!+#REF!+T24</f>
        <v>#REF!</v>
      </c>
      <c r="U23" s="66"/>
    </row>
    <row r="24" spans="1:21" ht="12" customHeight="1">
      <c r="A24" s="21" t="s">
        <v>61</v>
      </c>
      <c r="B24" s="76">
        <f>C24+G24+K24+O24</f>
        <v>89200</v>
      </c>
      <c r="C24" s="79">
        <f t="shared" si="6"/>
        <v>22300</v>
      </c>
      <c r="D24" s="80">
        <v>0</v>
      </c>
      <c r="E24" s="80">
        <v>0</v>
      </c>
      <c r="F24" s="80">
        <v>22300</v>
      </c>
      <c r="G24" s="79">
        <f>H24+I24+J24</f>
        <v>22300</v>
      </c>
      <c r="H24" s="80">
        <v>0</v>
      </c>
      <c r="I24" s="80">
        <v>0</v>
      </c>
      <c r="J24" s="80">
        <v>22300</v>
      </c>
      <c r="K24" s="79">
        <f>L24+M24+N24</f>
        <v>22300</v>
      </c>
      <c r="L24" s="80">
        <v>0</v>
      </c>
      <c r="M24" s="80">
        <v>0</v>
      </c>
      <c r="N24" s="80">
        <v>22300</v>
      </c>
      <c r="O24" s="79">
        <f>P24+Q24+R24</f>
        <v>22300</v>
      </c>
      <c r="P24" s="80">
        <v>0</v>
      </c>
      <c r="Q24" s="80">
        <v>0</v>
      </c>
      <c r="R24" s="76">
        <v>22300</v>
      </c>
      <c r="S24" s="64">
        <f>D24+E24+F24+H24+I24+J24+L24</f>
        <v>44600</v>
      </c>
      <c r="T24" s="65">
        <f>B24-Q24-R24</f>
        <v>66900</v>
      </c>
      <c r="U24" s="66"/>
    </row>
    <row r="25" spans="1:21" ht="12" customHeight="1">
      <c r="A25" s="56" t="s">
        <v>55</v>
      </c>
      <c r="B25" s="93">
        <f>C25+G25+K25+O25</f>
        <v>1173000</v>
      </c>
      <c r="C25" s="82">
        <f t="shared" si="6"/>
        <v>292971</v>
      </c>
      <c r="D25" s="82">
        <v>97409</v>
      </c>
      <c r="E25" s="82">
        <v>97781</v>
      </c>
      <c r="F25" s="82">
        <v>97781</v>
      </c>
      <c r="G25" s="82">
        <f>H25+I25+J25</f>
        <v>293343</v>
      </c>
      <c r="H25" s="82">
        <v>97781</v>
      </c>
      <c r="I25" s="82">
        <v>97781</v>
      </c>
      <c r="J25" s="82">
        <v>97781</v>
      </c>
      <c r="K25" s="82">
        <f>L25+M25+N25</f>
        <v>293343</v>
      </c>
      <c r="L25" s="82">
        <v>97781</v>
      </c>
      <c r="M25" s="82">
        <v>97781</v>
      </c>
      <c r="N25" s="82">
        <v>97781</v>
      </c>
      <c r="O25" s="82">
        <f>P25+Q25+R25</f>
        <v>293343</v>
      </c>
      <c r="P25" s="82">
        <v>97781</v>
      </c>
      <c r="Q25" s="82">
        <v>97781</v>
      </c>
      <c r="R25" s="93">
        <v>97781</v>
      </c>
      <c r="S25" s="64"/>
      <c r="T25" s="65">
        <f>B25-Q25-R25</f>
        <v>977438</v>
      </c>
      <c r="U25" s="66"/>
    </row>
    <row r="26" spans="1:21" ht="23.25" customHeight="1">
      <c r="A26" s="52" t="s">
        <v>48</v>
      </c>
      <c r="B26" s="94">
        <f>C26+G26+K26+O26</f>
        <v>0</v>
      </c>
      <c r="C26" s="95">
        <f t="shared" si="6"/>
        <v>0</v>
      </c>
      <c r="D26" s="95"/>
      <c r="E26" s="95"/>
      <c r="F26" s="95"/>
      <c r="G26" s="95">
        <f>H26+I26+J26</f>
        <v>0</v>
      </c>
      <c r="H26" s="95"/>
      <c r="I26" s="95"/>
      <c r="J26" s="95"/>
      <c r="K26" s="95">
        <f>L26+M26+N26</f>
        <v>0</v>
      </c>
      <c r="L26" s="95"/>
      <c r="M26" s="95"/>
      <c r="N26" s="95"/>
      <c r="O26" s="95">
        <f>P26+Q26+R26</f>
        <v>0</v>
      </c>
      <c r="P26" s="95"/>
      <c r="Q26" s="95"/>
      <c r="R26" s="94"/>
      <c r="S26" s="64"/>
      <c r="T26" s="65"/>
      <c r="U26" s="66"/>
    </row>
    <row r="27" spans="1:21" ht="12" customHeight="1">
      <c r="A27" s="53" t="s">
        <v>49</v>
      </c>
      <c r="B27" s="93">
        <f>C27+G27+K27+O27</f>
        <v>24000</v>
      </c>
      <c r="C27" s="82">
        <f t="shared" si="6"/>
        <v>0</v>
      </c>
      <c r="D27" s="82">
        <v>0</v>
      </c>
      <c r="E27" s="82">
        <v>0</v>
      </c>
      <c r="F27" s="82">
        <v>0</v>
      </c>
      <c r="G27" s="82">
        <f>H27+I27+J27</f>
        <v>24000</v>
      </c>
      <c r="H27" s="82">
        <v>24000</v>
      </c>
      <c r="I27" s="82">
        <v>0</v>
      </c>
      <c r="J27" s="82">
        <v>0</v>
      </c>
      <c r="K27" s="82">
        <f>L27+M27+N27</f>
        <v>0</v>
      </c>
      <c r="L27" s="82">
        <v>0</v>
      </c>
      <c r="M27" s="82">
        <v>0</v>
      </c>
      <c r="N27" s="82">
        <v>0</v>
      </c>
      <c r="O27" s="82">
        <f>P27+Q27+R27</f>
        <v>0</v>
      </c>
      <c r="P27" s="82">
        <v>0</v>
      </c>
      <c r="Q27" s="82">
        <v>0</v>
      </c>
      <c r="R27" s="93">
        <v>0</v>
      </c>
      <c r="S27" s="64"/>
      <c r="T27" s="65"/>
      <c r="U27" s="66"/>
    </row>
    <row r="28" spans="1:21" s="107" customFormat="1" ht="35.25" customHeight="1">
      <c r="A28" s="45" t="s">
        <v>50</v>
      </c>
      <c r="B28" s="94">
        <f aca="true" t="shared" si="8" ref="B28:R28">B29+B30</f>
        <v>0</v>
      </c>
      <c r="C28" s="94">
        <f t="shared" si="8"/>
        <v>0</v>
      </c>
      <c r="D28" s="94">
        <f t="shared" si="8"/>
        <v>0</v>
      </c>
      <c r="E28" s="94">
        <f t="shared" si="8"/>
        <v>0</v>
      </c>
      <c r="F28" s="94">
        <f t="shared" si="8"/>
        <v>0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>
        <f t="shared" si="8"/>
        <v>0</v>
      </c>
      <c r="P28" s="94">
        <f t="shared" si="8"/>
        <v>0</v>
      </c>
      <c r="Q28" s="94">
        <f t="shared" si="8"/>
        <v>0</v>
      </c>
      <c r="R28" s="94">
        <f t="shared" si="8"/>
        <v>0</v>
      </c>
      <c r="S28" s="64">
        <f>D28+E28+F28+H28+I28+J28+L28</f>
        <v>0</v>
      </c>
      <c r="T28" s="65">
        <f>B28-Q28-R28</f>
        <v>0</v>
      </c>
      <c r="U28" s="72"/>
    </row>
    <row r="29" spans="1:21" s="107" customFormat="1" ht="15" customHeight="1">
      <c r="A29" s="54" t="s">
        <v>51</v>
      </c>
      <c r="B29" s="80">
        <f>C29+G29+K29+O29</f>
        <v>0</v>
      </c>
      <c r="C29" s="80">
        <f>D29+E29+F29</f>
        <v>0</v>
      </c>
      <c r="D29" s="80">
        <v>0</v>
      </c>
      <c r="E29" s="80">
        <v>0</v>
      </c>
      <c r="F29" s="80">
        <v>0</v>
      </c>
      <c r="G29" s="80">
        <f>H29+I29+J29</f>
        <v>0</v>
      </c>
      <c r="H29" s="80">
        <v>0</v>
      </c>
      <c r="I29" s="80">
        <v>0</v>
      </c>
      <c r="J29" s="80">
        <v>0</v>
      </c>
      <c r="K29" s="80">
        <f>L29+M29+N29</f>
        <v>0</v>
      </c>
      <c r="L29" s="80">
        <v>0</v>
      </c>
      <c r="M29" s="80">
        <v>0</v>
      </c>
      <c r="N29" s="80">
        <v>0</v>
      </c>
      <c r="O29" s="80">
        <f>P29+Q29+R29</f>
        <v>0</v>
      </c>
      <c r="P29" s="80">
        <v>0</v>
      </c>
      <c r="Q29" s="80">
        <v>0</v>
      </c>
      <c r="R29" s="76">
        <v>0</v>
      </c>
      <c r="S29" s="64"/>
      <c r="T29" s="65"/>
      <c r="U29" s="72"/>
    </row>
    <row r="30" spans="1:21" s="107" customFormat="1" ht="13.5" customHeight="1">
      <c r="A30" s="54" t="s">
        <v>52</v>
      </c>
      <c r="B30" s="80">
        <f>C30+G30+K30+O30</f>
        <v>0</v>
      </c>
      <c r="C30" s="80">
        <f>D30+E30+F30</f>
        <v>0</v>
      </c>
      <c r="D30" s="80">
        <v>0</v>
      </c>
      <c r="E30" s="80">
        <v>0</v>
      </c>
      <c r="F30" s="80">
        <v>0</v>
      </c>
      <c r="G30" s="80">
        <f>H30+I30+J30</f>
        <v>0</v>
      </c>
      <c r="H30" s="80">
        <v>0</v>
      </c>
      <c r="I30" s="80">
        <v>0</v>
      </c>
      <c r="J30" s="80">
        <v>0</v>
      </c>
      <c r="K30" s="80">
        <f>L30+M30+N30</f>
        <v>0</v>
      </c>
      <c r="L30" s="80">
        <v>0</v>
      </c>
      <c r="M30" s="80">
        <v>0</v>
      </c>
      <c r="N30" s="80">
        <v>0</v>
      </c>
      <c r="O30" s="80">
        <f>P30+Q30+R30</f>
        <v>0</v>
      </c>
      <c r="P30" s="80">
        <v>0</v>
      </c>
      <c r="Q30" s="80">
        <v>0</v>
      </c>
      <c r="R30" s="76">
        <v>0</v>
      </c>
      <c r="S30" s="64"/>
      <c r="T30" s="65"/>
      <c r="U30" s="72"/>
    </row>
    <row r="31" spans="1:21" ht="27.75" customHeight="1">
      <c r="A31" s="57" t="s">
        <v>27</v>
      </c>
      <c r="B31" s="82">
        <f>B32+B33</f>
        <v>1862800</v>
      </c>
      <c r="C31" s="82">
        <f aca="true" t="shared" si="9" ref="C31:R31">C32+C33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1862800</v>
      </c>
      <c r="P31" s="82">
        <f t="shared" si="9"/>
        <v>0</v>
      </c>
      <c r="Q31" s="82">
        <f t="shared" si="9"/>
        <v>0</v>
      </c>
      <c r="R31" s="93">
        <f t="shared" si="9"/>
        <v>1862800</v>
      </c>
      <c r="S31" s="69">
        <f>D31+E31+F31+H31+I31+J31+L31</f>
        <v>0</v>
      </c>
      <c r="T31" s="70">
        <f>B31-Q31-R31</f>
        <v>0</v>
      </c>
      <c r="U31" s="66"/>
    </row>
    <row r="32" spans="1:21" ht="15" customHeight="1">
      <c r="A32" s="55" t="s">
        <v>31</v>
      </c>
      <c r="B32" s="80">
        <f>C32+G32+K32+O32</f>
        <v>0</v>
      </c>
      <c r="C32" s="80">
        <f>D32+E32+F32</f>
        <v>0</v>
      </c>
      <c r="D32" s="80">
        <v>0</v>
      </c>
      <c r="E32" s="80">
        <v>0</v>
      </c>
      <c r="F32" s="80">
        <v>0</v>
      </c>
      <c r="G32" s="80">
        <f>H32+I32+J32</f>
        <v>0</v>
      </c>
      <c r="H32" s="80">
        <v>0</v>
      </c>
      <c r="I32" s="80">
        <v>0</v>
      </c>
      <c r="J32" s="80">
        <v>0</v>
      </c>
      <c r="K32" s="80">
        <f>L32+M32+N32</f>
        <v>0</v>
      </c>
      <c r="L32" s="80">
        <v>0</v>
      </c>
      <c r="M32" s="80">
        <v>0</v>
      </c>
      <c r="N32" s="80">
        <v>0</v>
      </c>
      <c r="O32" s="80">
        <f>P32+Q32+R32</f>
        <v>0</v>
      </c>
      <c r="P32" s="80">
        <v>0</v>
      </c>
      <c r="Q32" s="80">
        <v>0</v>
      </c>
      <c r="R32" s="76">
        <v>0</v>
      </c>
      <c r="S32" s="64">
        <f>D32+E32+F32+H32+I32+J32+L32</f>
        <v>0</v>
      </c>
      <c r="T32" s="65">
        <f>B32-Q32-R32</f>
        <v>0</v>
      </c>
      <c r="U32" s="66"/>
    </row>
    <row r="33" spans="1:21" ht="15" customHeight="1">
      <c r="A33" s="55" t="s">
        <v>32</v>
      </c>
      <c r="B33" s="80">
        <f>C33+G33+K33+O33</f>
        <v>1862800</v>
      </c>
      <c r="C33" s="80">
        <f>D33+E33+F33</f>
        <v>0</v>
      </c>
      <c r="D33" s="80">
        <v>0</v>
      </c>
      <c r="E33" s="80">
        <v>0</v>
      </c>
      <c r="F33" s="80">
        <v>0</v>
      </c>
      <c r="G33" s="80">
        <f>H33+I33+J33</f>
        <v>0</v>
      </c>
      <c r="H33" s="80">
        <v>0</v>
      </c>
      <c r="I33" s="80">
        <v>0</v>
      </c>
      <c r="J33" s="80">
        <v>0</v>
      </c>
      <c r="K33" s="80">
        <f>L33+M33+N33</f>
        <v>0</v>
      </c>
      <c r="L33" s="80">
        <v>0</v>
      </c>
      <c r="M33" s="80">
        <v>0</v>
      </c>
      <c r="N33" s="80">
        <v>0</v>
      </c>
      <c r="O33" s="80">
        <f>P33+Q33+R33</f>
        <v>1862800</v>
      </c>
      <c r="P33" s="80">
        <v>0</v>
      </c>
      <c r="Q33" s="80">
        <v>0</v>
      </c>
      <c r="R33" s="76">
        <v>1862800</v>
      </c>
      <c r="S33" s="64"/>
      <c r="T33" s="65"/>
      <c r="U33" s="66"/>
    </row>
    <row r="34" spans="1:21" ht="12" customHeight="1">
      <c r="A34" s="38" t="s">
        <v>24</v>
      </c>
      <c r="B34" s="94">
        <f aca="true" t="shared" si="10" ref="B34:R34">B35+B36</f>
        <v>0</v>
      </c>
      <c r="C34" s="94">
        <f t="shared" si="10"/>
        <v>0</v>
      </c>
      <c r="D34" s="94">
        <f t="shared" si="10"/>
        <v>0</v>
      </c>
      <c r="E34" s="94">
        <f t="shared" si="10"/>
        <v>0</v>
      </c>
      <c r="F34" s="94">
        <f t="shared" si="10"/>
        <v>0</v>
      </c>
      <c r="G34" s="94">
        <f t="shared" si="10"/>
        <v>0</v>
      </c>
      <c r="H34" s="94">
        <f t="shared" si="10"/>
        <v>0</v>
      </c>
      <c r="I34" s="94">
        <f t="shared" si="10"/>
        <v>0</v>
      </c>
      <c r="J34" s="94">
        <f t="shared" si="10"/>
        <v>0</v>
      </c>
      <c r="K34" s="94">
        <f t="shared" si="10"/>
        <v>0</v>
      </c>
      <c r="L34" s="94">
        <f t="shared" si="10"/>
        <v>0</v>
      </c>
      <c r="M34" s="94">
        <f t="shared" si="10"/>
        <v>0</v>
      </c>
      <c r="N34" s="94">
        <f t="shared" si="10"/>
        <v>0</v>
      </c>
      <c r="O34" s="94">
        <f t="shared" si="10"/>
        <v>0</v>
      </c>
      <c r="P34" s="94">
        <f t="shared" si="10"/>
        <v>0</v>
      </c>
      <c r="Q34" s="94">
        <f t="shared" si="10"/>
        <v>0</v>
      </c>
      <c r="R34" s="94">
        <f t="shared" si="10"/>
        <v>0</v>
      </c>
      <c r="S34" s="69">
        <f>D34+E34+F34+H34+I34+J34+L34</f>
        <v>0</v>
      </c>
      <c r="T34" s="70">
        <f>B34-Q34-R34</f>
        <v>0</v>
      </c>
      <c r="U34" s="66"/>
    </row>
    <row r="35" spans="1:21" ht="14.25" customHeight="1">
      <c r="A35" s="22" t="s">
        <v>53</v>
      </c>
      <c r="B35" s="76">
        <f>C35+G35+K35+O35</f>
        <v>0</v>
      </c>
      <c r="C35" s="76">
        <f>D35+E35+F35</f>
        <v>0</v>
      </c>
      <c r="D35" s="80">
        <v>0</v>
      </c>
      <c r="E35" s="80">
        <v>0</v>
      </c>
      <c r="F35" s="80">
        <v>0</v>
      </c>
      <c r="G35" s="76">
        <f>H35+I35+J35</f>
        <v>0</v>
      </c>
      <c r="H35" s="80">
        <v>0</v>
      </c>
      <c r="I35" s="80">
        <v>0</v>
      </c>
      <c r="J35" s="80">
        <v>0</v>
      </c>
      <c r="K35" s="76">
        <f>L35+M35+N35</f>
        <v>0</v>
      </c>
      <c r="L35" s="80">
        <v>0</v>
      </c>
      <c r="M35" s="80">
        <v>0</v>
      </c>
      <c r="N35" s="80">
        <v>0</v>
      </c>
      <c r="O35" s="76">
        <f>P35+Q35+R35</f>
        <v>0</v>
      </c>
      <c r="P35" s="80">
        <v>0</v>
      </c>
      <c r="Q35" s="80">
        <v>0</v>
      </c>
      <c r="R35" s="76">
        <v>0</v>
      </c>
      <c r="S35" s="64">
        <f>D35+E35+F35+H35+I35+J35+L35</f>
        <v>0</v>
      </c>
      <c r="T35" s="65">
        <f>B35-Q35-R35</f>
        <v>0</v>
      </c>
      <c r="U35" s="66"/>
    </row>
    <row r="36" spans="1:21" ht="14.25" customHeight="1">
      <c r="A36" s="22" t="s">
        <v>54</v>
      </c>
      <c r="B36" s="76">
        <f>C36+G36+K36+O36</f>
        <v>0</v>
      </c>
      <c r="C36" s="76">
        <f>D36+E36+F36</f>
        <v>0</v>
      </c>
      <c r="D36" s="80">
        <v>0</v>
      </c>
      <c r="E36" s="80">
        <v>0</v>
      </c>
      <c r="F36" s="80">
        <v>0</v>
      </c>
      <c r="G36" s="76">
        <f>H36+I36+J36</f>
        <v>0</v>
      </c>
      <c r="H36" s="80">
        <v>0</v>
      </c>
      <c r="I36" s="80">
        <v>0</v>
      </c>
      <c r="J36" s="80">
        <v>0</v>
      </c>
      <c r="K36" s="76">
        <f>L36+M36+N36</f>
        <v>0</v>
      </c>
      <c r="L36" s="80">
        <v>0</v>
      </c>
      <c r="M36" s="80">
        <v>0</v>
      </c>
      <c r="N36" s="80">
        <v>0</v>
      </c>
      <c r="O36" s="76">
        <f>P36+Q36+R36</f>
        <v>0</v>
      </c>
      <c r="P36" s="80">
        <v>0</v>
      </c>
      <c r="Q36" s="80">
        <v>0</v>
      </c>
      <c r="R36" s="76">
        <v>0</v>
      </c>
      <c r="S36" s="64"/>
      <c r="T36" s="65"/>
      <c r="U36" s="66"/>
    </row>
    <row r="37" spans="1:21" ht="12.75" customHeight="1">
      <c r="A37" s="58" t="s">
        <v>25</v>
      </c>
      <c r="B37" s="93">
        <f aca="true" t="shared" si="11" ref="B37:T37">B39+B40+B41+B42+B43+B38</f>
        <v>60000</v>
      </c>
      <c r="C37" s="93">
        <f t="shared" si="11"/>
        <v>0</v>
      </c>
      <c r="D37" s="93">
        <f t="shared" si="11"/>
        <v>0</v>
      </c>
      <c r="E37" s="93">
        <f t="shared" si="11"/>
        <v>0</v>
      </c>
      <c r="F37" s="93">
        <f t="shared" si="11"/>
        <v>0</v>
      </c>
      <c r="G37" s="93">
        <f t="shared" si="11"/>
        <v>0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50000</v>
      </c>
      <c r="L37" s="93">
        <f t="shared" si="11"/>
        <v>0</v>
      </c>
      <c r="M37" s="93">
        <f t="shared" si="11"/>
        <v>40000</v>
      </c>
      <c r="N37" s="93">
        <f t="shared" si="11"/>
        <v>10000</v>
      </c>
      <c r="O37" s="93">
        <f t="shared" si="11"/>
        <v>10000</v>
      </c>
      <c r="P37" s="93">
        <f t="shared" si="11"/>
        <v>10000</v>
      </c>
      <c r="Q37" s="93">
        <f t="shared" si="11"/>
        <v>0</v>
      </c>
      <c r="R37" s="93">
        <f t="shared" si="11"/>
        <v>0</v>
      </c>
      <c r="S37" s="93" t="e">
        <f t="shared" si="11"/>
        <v>#REF!</v>
      </c>
      <c r="T37" s="93" t="e">
        <f t="shared" si="11"/>
        <v>#REF!</v>
      </c>
      <c r="U37" s="66"/>
    </row>
    <row r="38" spans="1:21" s="113" customFormat="1" ht="12.75" customHeight="1">
      <c r="A38" s="114" t="s">
        <v>62</v>
      </c>
      <c r="B38" s="76">
        <f aca="true" t="shared" si="12" ref="B38:B44">C38+G38+K38+O38</f>
        <v>0</v>
      </c>
      <c r="C38" s="76">
        <f aca="true" t="shared" si="13" ref="C38:C44">D38+E38+F38</f>
        <v>0</v>
      </c>
      <c r="D38" s="76">
        <v>0</v>
      </c>
      <c r="E38" s="76">
        <v>0</v>
      </c>
      <c r="F38" s="76">
        <v>0</v>
      </c>
      <c r="G38" s="76">
        <f aca="true" t="shared" si="14" ref="G38:G44">H38+I38+J38</f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f aca="true" t="shared" si="15" ref="O38:O44">P38+Q38+R38</f>
        <v>0</v>
      </c>
      <c r="P38" s="76">
        <v>0</v>
      </c>
      <c r="Q38" s="76">
        <v>0</v>
      </c>
      <c r="R38" s="76">
        <v>0</v>
      </c>
      <c r="S38" s="110"/>
      <c r="T38" s="111"/>
      <c r="U38" s="112"/>
    </row>
    <row r="39" spans="1:21" ht="12" customHeight="1">
      <c r="A39" s="8" t="s">
        <v>33</v>
      </c>
      <c r="B39" s="76">
        <f t="shared" si="12"/>
        <v>60000</v>
      </c>
      <c r="C39" s="76">
        <f t="shared" si="13"/>
        <v>0</v>
      </c>
      <c r="D39" s="76">
        <v>0</v>
      </c>
      <c r="E39" s="76">
        <v>0</v>
      </c>
      <c r="F39" s="76">
        <v>0</v>
      </c>
      <c r="G39" s="76">
        <f t="shared" si="14"/>
        <v>0</v>
      </c>
      <c r="H39" s="76">
        <v>0</v>
      </c>
      <c r="I39" s="76">
        <v>0</v>
      </c>
      <c r="J39" s="76">
        <v>0</v>
      </c>
      <c r="K39" s="76">
        <f aca="true" t="shared" si="16" ref="K39:K44">L39+M39+N39</f>
        <v>50000</v>
      </c>
      <c r="L39" s="76">
        <v>0</v>
      </c>
      <c r="M39" s="76">
        <v>40000</v>
      </c>
      <c r="N39" s="76">
        <v>10000</v>
      </c>
      <c r="O39" s="76">
        <f t="shared" si="15"/>
        <v>10000</v>
      </c>
      <c r="P39" s="76">
        <v>10000</v>
      </c>
      <c r="Q39" s="76">
        <v>0</v>
      </c>
      <c r="R39" s="76">
        <v>0</v>
      </c>
      <c r="S39" s="64">
        <f>D39+E39+F39+H39+I39+J39+L39</f>
        <v>0</v>
      </c>
      <c r="T39" s="65">
        <f>B39-Q39-R39</f>
        <v>60000</v>
      </c>
      <c r="U39" s="66"/>
    </row>
    <row r="40" spans="1:21" ht="10.5" customHeight="1">
      <c r="A40" s="59" t="s">
        <v>40</v>
      </c>
      <c r="B40" s="76">
        <f t="shared" si="12"/>
        <v>0</v>
      </c>
      <c r="C40" s="76">
        <f t="shared" si="13"/>
        <v>0</v>
      </c>
      <c r="D40" s="76">
        <v>0</v>
      </c>
      <c r="E40" s="76">
        <v>0</v>
      </c>
      <c r="F40" s="76">
        <v>0</v>
      </c>
      <c r="G40" s="76">
        <f t="shared" si="14"/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6">
        <v>0</v>
      </c>
      <c r="M40" s="76">
        <v>0</v>
      </c>
      <c r="N40" s="76">
        <v>0</v>
      </c>
      <c r="O40" s="76">
        <f t="shared" si="15"/>
        <v>0</v>
      </c>
      <c r="P40" s="76">
        <v>0</v>
      </c>
      <c r="Q40" s="76">
        <v>0</v>
      </c>
      <c r="R40" s="76">
        <v>0</v>
      </c>
      <c r="S40" s="64">
        <f>D40+E40+F40+H40+I40+J40+L40</f>
        <v>0</v>
      </c>
      <c r="T40" s="65">
        <f>B40-Q40-R40</f>
        <v>0</v>
      </c>
      <c r="U40" s="66"/>
    </row>
    <row r="41" spans="1:21" ht="15" customHeight="1">
      <c r="A41" s="35" t="s">
        <v>41</v>
      </c>
      <c r="B41" s="76">
        <f t="shared" si="12"/>
        <v>0</v>
      </c>
      <c r="C41" s="76">
        <f t="shared" si="13"/>
        <v>0</v>
      </c>
      <c r="D41" s="76">
        <v>0</v>
      </c>
      <c r="E41" s="76">
        <v>0</v>
      </c>
      <c r="F41" s="76">
        <v>0</v>
      </c>
      <c r="G41" s="76">
        <f t="shared" si="14"/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6">
        <v>0</v>
      </c>
      <c r="M41" s="76">
        <v>0</v>
      </c>
      <c r="N41" s="76">
        <v>0</v>
      </c>
      <c r="O41" s="76">
        <f t="shared" si="15"/>
        <v>0</v>
      </c>
      <c r="P41" s="76">
        <v>0</v>
      </c>
      <c r="Q41" s="76">
        <v>0</v>
      </c>
      <c r="R41" s="76">
        <v>0</v>
      </c>
      <c r="S41" s="64"/>
      <c r="T41" s="65"/>
      <c r="U41" s="66"/>
    </row>
    <row r="42" spans="1:21" ht="15" customHeight="1">
      <c r="A42" s="47" t="s">
        <v>39</v>
      </c>
      <c r="B42" s="76">
        <f t="shared" si="12"/>
        <v>0</v>
      </c>
      <c r="C42" s="76">
        <f t="shared" si="13"/>
        <v>0</v>
      </c>
      <c r="D42" s="76">
        <v>0</v>
      </c>
      <c r="E42" s="76">
        <v>0</v>
      </c>
      <c r="F42" s="76">
        <v>0</v>
      </c>
      <c r="G42" s="76">
        <f t="shared" si="14"/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6">
        <v>0</v>
      </c>
      <c r="M42" s="76">
        <v>0</v>
      </c>
      <c r="N42" s="76">
        <v>0</v>
      </c>
      <c r="O42" s="76">
        <f t="shared" si="15"/>
        <v>0</v>
      </c>
      <c r="P42" s="76">
        <v>0</v>
      </c>
      <c r="Q42" s="76">
        <v>0</v>
      </c>
      <c r="R42" s="76">
        <v>0</v>
      </c>
      <c r="S42" s="64">
        <f>D42+E42+F42+H42+I42+J42+L42</f>
        <v>0</v>
      </c>
      <c r="T42" s="65">
        <f>B42-Q42-R42</f>
        <v>0</v>
      </c>
      <c r="U42" s="66"/>
    </row>
    <row r="43" spans="1:21" ht="15" customHeight="1">
      <c r="A43" s="46" t="s">
        <v>42</v>
      </c>
      <c r="B43" s="76">
        <f t="shared" si="12"/>
        <v>0</v>
      </c>
      <c r="C43" s="76">
        <f t="shared" si="13"/>
        <v>0</v>
      </c>
      <c r="D43" s="76">
        <v>0</v>
      </c>
      <c r="E43" s="76">
        <v>0</v>
      </c>
      <c r="F43" s="76">
        <v>0</v>
      </c>
      <c r="G43" s="76">
        <f t="shared" si="14"/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6">
        <v>0</v>
      </c>
      <c r="M43" s="76">
        <v>0</v>
      </c>
      <c r="N43" s="76">
        <v>0</v>
      </c>
      <c r="O43" s="76">
        <f t="shared" si="15"/>
        <v>0</v>
      </c>
      <c r="P43" s="76">
        <v>0</v>
      </c>
      <c r="Q43" s="76">
        <v>0</v>
      </c>
      <c r="R43" s="76">
        <v>0</v>
      </c>
      <c r="S43" s="73" t="e">
        <f>#REF!+#REF!+#REF!+#REF!</f>
        <v>#REF!</v>
      </c>
      <c r="T43" s="73" t="e">
        <f>#REF!+#REF!+#REF!+#REF!</f>
        <v>#REF!</v>
      </c>
      <c r="U43" s="66"/>
    </row>
    <row r="44" spans="1:21" ht="24.75" customHeight="1">
      <c r="A44" s="60" t="s">
        <v>56</v>
      </c>
      <c r="B44" s="94">
        <f t="shared" si="12"/>
        <v>50000</v>
      </c>
      <c r="C44" s="94">
        <f t="shared" si="13"/>
        <v>0</v>
      </c>
      <c r="D44" s="94">
        <v>0</v>
      </c>
      <c r="E44" s="94">
        <v>0</v>
      </c>
      <c r="F44" s="94">
        <v>0</v>
      </c>
      <c r="G44" s="94">
        <f t="shared" si="14"/>
        <v>30000</v>
      </c>
      <c r="H44" s="94">
        <v>0</v>
      </c>
      <c r="I44" s="94">
        <v>20000</v>
      </c>
      <c r="J44" s="94">
        <v>10000</v>
      </c>
      <c r="K44" s="94">
        <f t="shared" si="16"/>
        <v>10000</v>
      </c>
      <c r="L44" s="94">
        <v>10000</v>
      </c>
      <c r="M44" s="94">
        <f>16800-9827-6973</f>
        <v>0</v>
      </c>
      <c r="N44" s="94">
        <v>0</v>
      </c>
      <c r="O44" s="94">
        <f t="shared" si="15"/>
        <v>10000</v>
      </c>
      <c r="P44" s="94">
        <f>0+6973-6973</f>
        <v>0</v>
      </c>
      <c r="Q44" s="94">
        <v>0</v>
      </c>
      <c r="R44" s="94">
        <v>10000</v>
      </c>
      <c r="S44" s="69">
        <f>D44+E44+F44+H44+I44+J44+L44</f>
        <v>40000</v>
      </c>
      <c r="T44" s="70">
        <f>B44-Q44-R44</f>
        <v>40000</v>
      </c>
      <c r="U44" s="66"/>
    </row>
    <row r="45" spans="1:21" ht="0.75" customHeight="1" hidden="1">
      <c r="A45" s="39" t="s">
        <v>28</v>
      </c>
      <c r="B45" s="71"/>
      <c r="C45" s="74"/>
      <c r="D45" s="74"/>
      <c r="E45" s="74"/>
      <c r="F45" s="74"/>
      <c r="G45" s="74"/>
      <c r="H45" s="74"/>
      <c r="I45" s="74"/>
      <c r="J45" s="74"/>
      <c r="K45" s="75"/>
      <c r="L45" s="74"/>
      <c r="M45" s="74"/>
      <c r="N45" s="74"/>
      <c r="O45" s="74"/>
      <c r="P45" s="74"/>
      <c r="Q45" s="74"/>
      <c r="R45" s="71"/>
      <c r="S45" s="69">
        <f>D45+E45+F45+H45+I45+J45+L45</f>
        <v>0</v>
      </c>
      <c r="T45" s="70">
        <f>B45-Q45-R45</f>
        <v>0</v>
      </c>
      <c r="U45" s="66"/>
    </row>
    <row r="46" spans="1:22" ht="15.75" customHeight="1">
      <c r="A46" s="49" t="s">
        <v>59</v>
      </c>
      <c r="B46" s="96">
        <f aca="true" t="shared" si="17" ref="B46:R46">B47+B52+B56</f>
        <v>1438200</v>
      </c>
      <c r="C46" s="96">
        <f t="shared" si="17"/>
        <v>105400</v>
      </c>
      <c r="D46" s="96">
        <f t="shared" si="17"/>
        <v>0</v>
      </c>
      <c r="E46" s="96">
        <f t="shared" si="17"/>
        <v>35400</v>
      </c>
      <c r="F46" s="96">
        <f t="shared" si="17"/>
        <v>70000</v>
      </c>
      <c r="G46" s="96">
        <f t="shared" si="17"/>
        <v>107600</v>
      </c>
      <c r="H46" s="96">
        <f t="shared" si="17"/>
        <v>17600</v>
      </c>
      <c r="I46" s="96">
        <f t="shared" si="17"/>
        <v>30000</v>
      </c>
      <c r="J46" s="96">
        <f t="shared" si="17"/>
        <v>60000</v>
      </c>
      <c r="K46" s="96">
        <f t="shared" si="17"/>
        <v>50000</v>
      </c>
      <c r="L46" s="96">
        <f t="shared" si="17"/>
        <v>0</v>
      </c>
      <c r="M46" s="96">
        <f t="shared" si="17"/>
        <v>50000</v>
      </c>
      <c r="N46" s="96">
        <f t="shared" si="17"/>
        <v>0</v>
      </c>
      <c r="O46" s="96">
        <f t="shared" si="17"/>
        <v>1175200</v>
      </c>
      <c r="P46" s="96">
        <f t="shared" si="17"/>
        <v>60000</v>
      </c>
      <c r="Q46" s="96">
        <f t="shared" si="17"/>
        <v>30000</v>
      </c>
      <c r="R46" s="96">
        <f t="shared" si="17"/>
        <v>1085200</v>
      </c>
      <c r="S46" s="97">
        <f>O46+K46+G46+C46</f>
        <v>1438200</v>
      </c>
      <c r="T46" s="97">
        <f>B46-Q46-R46</f>
        <v>323000</v>
      </c>
      <c r="U46" s="108"/>
      <c r="V46" s="109"/>
    </row>
    <row r="47" spans="1:22" ht="21.75" customHeight="1">
      <c r="A47" s="50" t="s">
        <v>60</v>
      </c>
      <c r="B47" s="98">
        <f>B48+B49+B50</f>
        <v>1438200</v>
      </c>
      <c r="C47" s="98">
        <f aca="true" t="shared" si="18" ref="C47:R47">C48+C49+C50</f>
        <v>105400</v>
      </c>
      <c r="D47" s="98">
        <f t="shared" si="18"/>
        <v>0</v>
      </c>
      <c r="E47" s="98">
        <f t="shared" si="18"/>
        <v>35400</v>
      </c>
      <c r="F47" s="98">
        <f t="shared" si="18"/>
        <v>70000</v>
      </c>
      <c r="G47" s="98">
        <f t="shared" si="18"/>
        <v>107600</v>
      </c>
      <c r="H47" s="98">
        <f t="shared" si="18"/>
        <v>17600</v>
      </c>
      <c r="I47" s="98">
        <f t="shared" si="18"/>
        <v>30000</v>
      </c>
      <c r="J47" s="98">
        <f t="shared" si="18"/>
        <v>60000</v>
      </c>
      <c r="K47" s="98">
        <f t="shared" si="18"/>
        <v>50000</v>
      </c>
      <c r="L47" s="98">
        <f t="shared" si="18"/>
        <v>0</v>
      </c>
      <c r="M47" s="98">
        <f t="shared" si="18"/>
        <v>50000</v>
      </c>
      <c r="N47" s="98">
        <f t="shared" si="18"/>
        <v>0</v>
      </c>
      <c r="O47" s="98">
        <f t="shared" si="18"/>
        <v>1175200</v>
      </c>
      <c r="P47" s="98">
        <f t="shared" si="18"/>
        <v>60000</v>
      </c>
      <c r="Q47" s="98">
        <f t="shared" si="18"/>
        <v>30000</v>
      </c>
      <c r="R47" s="98">
        <f t="shared" si="18"/>
        <v>1085200</v>
      </c>
      <c r="S47" s="98" t="e">
        <f>#REF!+S48+#REF!+S49+S50+S51+#REF!</f>
        <v>#REF!</v>
      </c>
      <c r="T47" s="98" t="e">
        <f>#REF!+T48+#REF!+T49+T50+T51+#REF!</f>
        <v>#REF!</v>
      </c>
      <c r="U47" s="108"/>
      <c r="V47" s="109"/>
    </row>
    <row r="48" spans="1:22" ht="15" customHeight="1">
      <c r="A48" s="7" t="s">
        <v>71</v>
      </c>
      <c r="B48" s="76">
        <f>C48+G48+K48+O48</f>
        <v>1025200</v>
      </c>
      <c r="C48" s="99">
        <f>D48+E48+F48</f>
        <v>0</v>
      </c>
      <c r="D48" s="79">
        <v>0</v>
      </c>
      <c r="E48" s="79">
        <v>0</v>
      </c>
      <c r="F48" s="79">
        <v>0</v>
      </c>
      <c r="G48" s="99">
        <f>H48+I48+J48</f>
        <v>0</v>
      </c>
      <c r="H48" s="79">
        <v>0</v>
      </c>
      <c r="I48" s="79">
        <v>0</v>
      </c>
      <c r="J48" s="79">
        <v>0</v>
      </c>
      <c r="K48" s="99">
        <f>L48+M48+N48</f>
        <v>0</v>
      </c>
      <c r="L48" s="79">
        <v>0</v>
      </c>
      <c r="M48" s="79">
        <v>0</v>
      </c>
      <c r="N48" s="79">
        <v>0</v>
      </c>
      <c r="O48" s="99">
        <f>P48+Q48+R48</f>
        <v>1025200</v>
      </c>
      <c r="P48" s="79">
        <v>0</v>
      </c>
      <c r="Q48" s="79">
        <v>0</v>
      </c>
      <c r="R48" s="79">
        <f>1025200</f>
        <v>1025200</v>
      </c>
      <c r="S48" s="100"/>
      <c r="T48" s="100">
        <f>B48-Q48-R48</f>
        <v>0</v>
      </c>
      <c r="U48" s="109"/>
      <c r="V48" s="109"/>
    </row>
    <row r="49" spans="1:22" ht="15" customHeight="1">
      <c r="A49" s="8" t="s">
        <v>68</v>
      </c>
      <c r="B49" s="76">
        <f>C49+G49+K49+O49</f>
        <v>405400</v>
      </c>
      <c r="C49" s="99">
        <f>D49+E49+F49</f>
        <v>105400</v>
      </c>
      <c r="D49" s="99">
        <v>0</v>
      </c>
      <c r="E49" s="99">
        <v>35400</v>
      </c>
      <c r="F49" s="99">
        <v>70000</v>
      </c>
      <c r="G49" s="99">
        <f>H49+I49+J49</f>
        <v>100000</v>
      </c>
      <c r="H49" s="99">
        <v>10000</v>
      </c>
      <c r="I49" s="99">
        <v>30000</v>
      </c>
      <c r="J49" s="79">
        <v>60000</v>
      </c>
      <c r="K49" s="99">
        <f>L49+M49+N49</f>
        <v>50000</v>
      </c>
      <c r="L49" s="99">
        <v>0</v>
      </c>
      <c r="M49" s="99">
        <v>50000</v>
      </c>
      <c r="N49" s="99">
        <v>0</v>
      </c>
      <c r="O49" s="99">
        <v>150000</v>
      </c>
      <c r="P49" s="99">
        <v>60000</v>
      </c>
      <c r="Q49" s="99">
        <v>30000</v>
      </c>
      <c r="R49" s="79">
        <v>60000</v>
      </c>
      <c r="S49" s="100">
        <f>O49+K49+G49+C49</f>
        <v>405400</v>
      </c>
      <c r="T49" s="100">
        <f>B49-Q49-R49</f>
        <v>315400</v>
      </c>
      <c r="U49" s="109"/>
      <c r="V49" s="109"/>
    </row>
    <row r="50" spans="1:22" ht="15" customHeight="1">
      <c r="A50" s="8" t="s">
        <v>69</v>
      </c>
      <c r="B50" s="76">
        <f>C50+G50+K50+O50</f>
        <v>7600</v>
      </c>
      <c r="C50" s="99">
        <v>0</v>
      </c>
      <c r="D50" s="99">
        <v>0</v>
      </c>
      <c r="E50" s="99">
        <v>0</v>
      </c>
      <c r="F50" s="99">
        <v>0</v>
      </c>
      <c r="G50" s="99">
        <f>H50+I50+J50</f>
        <v>7600</v>
      </c>
      <c r="H50" s="101">
        <f>0+7600</f>
        <v>7600</v>
      </c>
      <c r="I50" s="101">
        <v>0</v>
      </c>
      <c r="J50" s="101">
        <v>0</v>
      </c>
      <c r="K50" s="99">
        <f>L50+M50+N50</f>
        <v>0</v>
      </c>
      <c r="L50" s="101">
        <v>0</v>
      </c>
      <c r="M50" s="101">
        <v>0</v>
      </c>
      <c r="N50" s="101">
        <v>0</v>
      </c>
      <c r="O50" s="99">
        <f>P50+Q50+R50</f>
        <v>0</v>
      </c>
      <c r="P50" s="101">
        <v>0</v>
      </c>
      <c r="Q50" s="101">
        <v>0</v>
      </c>
      <c r="R50" s="79">
        <f>7600-7600</f>
        <v>0</v>
      </c>
      <c r="S50" s="100">
        <f>O50+K50+G50+C50</f>
        <v>7600</v>
      </c>
      <c r="T50" s="100">
        <f>B50-Q50-R50</f>
        <v>7600</v>
      </c>
      <c r="U50" s="109"/>
      <c r="V50" s="109"/>
    </row>
    <row r="51" spans="1:22" ht="27" customHeight="1">
      <c r="A51" s="61" t="s">
        <v>70</v>
      </c>
      <c r="B51" s="76">
        <f>C51+G51+K51+O51</f>
        <v>0</v>
      </c>
      <c r="C51" s="99">
        <f>D51+E51+F51</f>
        <v>0</v>
      </c>
      <c r="D51" s="101">
        <v>0</v>
      </c>
      <c r="E51" s="99">
        <v>0</v>
      </c>
      <c r="F51" s="99">
        <v>0</v>
      </c>
      <c r="G51" s="99">
        <f>H51+I51+J51</f>
        <v>0</v>
      </c>
      <c r="H51" s="101">
        <v>0</v>
      </c>
      <c r="I51" s="101">
        <v>0</v>
      </c>
      <c r="J51" s="101">
        <v>0</v>
      </c>
      <c r="K51" s="99">
        <f>L51+M51+N51</f>
        <v>0</v>
      </c>
      <c r="L51" s="101">
        <v>0</v>
      </c>
      <c r="M51" s="101">
        <v>0</v>
      </c>
      <c r="N51" s="101">
        <v>0</v>
      </c>
      <c r="O51" s="99">
        <f>P51+Q51+R51</f>
        <v>0</v>
      </c>
      <c r="P51" s="101">
        <v>0</v>
      </c>
      <c r="Q51" s="101">
        <v>0</v>
      </c>
      <c r="R51" s="79">
        <v>0</v>
      </c>
      <c r="S51" s="100">
        <f>O51+K51+G51+C51</f>
        <v>0</v>
      </c>
      <c r="T51" s="100">
        <f>B51-Q51-R51</f>
        <v>0</v>
      </c>
      <c r="U51" s="109"/>
      <c r="V51" s="109"/>
    </row>
    <row r="52" spans="1:20" s="107" customFormat="1" ht="26.25" customHeight="1">
      <c r="A52" s="45" t="s">
        <v>67</v>
      </c>
      <c r="B52" s="102">
        <f aca="true" t="shared" si="19" ref="B52:R52">B53+B54+B55</f>
        <v>0</v>
      </c>
      <c r="C52" s="102">
        <f t="shared" si="19"/>
        <v>0</v>
      </c>
      <c r="D52" s="102">
        <f t="shared" si="19"/>
        <v>0</v>
      </c>
      <c r="E52" s="102">
        <f t="shared" si="19"/>
        <v>0</v>
      </c>
      <c r="F52" s="102">
        <f t="shared" si="19"/>
        <v>0</v>
      </c>
      <c r="G52" s="102">
        <f t="shared" si="19"/>
        <v>0</v>
      </c>
      <c r="H52" s="102">
        <f t="shared" si="19"/>
        <v>0</v>
      </c>
      <c r="I52" s="102">
        <f t="shared" si="19"/>
        <v>0</v>
      </c>
      <c r="J52" s="102">
        <f t="shared" si="19"/>
        <v>0</v>
      </c>
      <c r="K52" s="102">
        <f t="shared" si="19"/>
        <v>0</v>
      </c>
      <c r="L52" s="102">
        <f t="shared" si="19"/>
        <v>0</v>
      </c>
      <c r="M52" s="102">
        <f t="shared" si="19"/>
        <v>0</v>
      </c>
      <c r="N52" s="102">
        <f t="shared" si="19"/>
        <v>0</v>
      </c>
      <c r="O52" s="102">
        <f t="shared" si="19"/>
        <v>0</v>
      </c>
      <c r="P52" s="102">
        <f t="shared" si="19"/>
        <v>0</v>
      </c>
      <c r="Q52" s="102">
        <f t="shared" si="19"/>
        <v>0</v>
      </c>
      <c r="R52" s="94">
        <f t="shared" si="19"/>
        <v>0</v>
      </c>
      <c r="S52" s="103">
        <f>O52+K52+G52+C52</f>
        <v>0</v>
      </c>
      <c r="T52" s="103">
        <f>B52-Q52-R52</f>
        <v>0</v>
      </c>
    </row>
    <row r="53" spans="1:20" s="107" customFormat="1" ht="15.75" customHeight="1">
      <c r="A53" s="62" t="s">
        <v>66</v>
      </c>
      <c r="B53" s="101">
        <f>C53+G53+K53+O53</f>
        <v>0</v>
      </c>
      <c r="C53" s="101">
        <f>D53+E53+F53</f>
        <v>0</v>
      </c>
      <c r="D53" s="101">
        <v>0</v>
      </c>
      <c r="E53" s="101">
        <v>0</v>
      </c>
      <c r="F53" s="101">
        <v>0</v>
      </c>
      <c r="G53" s="101">
        <f>H53+I53+J53</f>
        <v>0</v>
      </c>
      <c r="H53" s="101">
        <v>0</v>
      </c>
      <c r="I53" s="101">
        <v>0</v>
      </c>
      <c r="J53" s="101">
        <v>0</v>
      </c>
      <c r="K53" s="79">
        <f>L53+M53+N53</f>
        <v>0</v>
      </c>
      <c r="L53" s="101">
        <v>0</v>
      </c>
      <c r="M53" s="101">
        <v>0</v>
      </c>
      <c r="N53" s="101">
        <v>0</v>
      </c>
      <c r="O53" s="101">
        <f>P53+Q53+R53</f>
        <v>0</v>
      </c>
      <c r="P53" s="101">
        <v>0</v>
      </c>
      <c r="Q53" s="101">
        <v>0</v>
      </c>
      <c r="R53" s="79">
        <v>0</v>
      </c>
      <c r="S53" s="103"/>
      <c r="T53" s="103"/>
    </row>
    <row r="54" spans="1:20" s="107" customFormat="1" ht="15" customHeight="1">
      <c r="A54" s="62" t="s">
        <v>65</v>
      </c>
      <c r="B54" s="101">
        <f>C54+G54+K54+O54</f>
        <v>0</v>
      </c>
      <c r="C54" s="101">
        <f>D54+E54+F54</f>
        <v>0</v>
      </c>
      <c r="D54" s="101">
        <v>0</v>
      </c>
      <c r="E54" s="101">
        <v>0</v>
      </c>
      <c r="F54" s="101">
        <v>0</v>
      </c>
      <c r="G54" s="101">
        <f>H54+I54+J54</f>
        <v>0</v>
      </c>
      <c r="H54" s="101">
        <v>0</v>
      </c>
      <c r="I54" s="101">
        <v>0</v>
      </c>
      <c r="J54" s="101">
        <v>0</v>
      </c>
      <c r="K54" s="79">
        <f>L54+M54+N54</f>
        <v>0</v>
      </c>
      <c r="L54" s="101">
        <v>0</v>
      </c>
      <c r="M54" s="101">
        <v>0</v>
      </c>
      <c r="N54" s="101">
        <v>0</v>
      </c>
      <c r="O54" s="101">
        <f>P54+Q54+R54</f>
        <v>0</v>
      </c>
      <c r="P54" s="101">
        <v>0</v>
      </c>
      <c r="Q54" s="101">
        <v>0</v>
      </c>
      <c r="R54" s="79">
        <v>0</v>
      </c>
      <c r="S54" s="103"/>
      <c r="T54" s="103"/>
    </row>
    <row r="55" spans="1:20" s="107" customFormat="1" ht="13.5" customHeight="1">
      <c r="A55" s="62" t="s">
        <v>64</v>
      </c>
      <c r="B55" s="101">
        <f>C55+G55+K55+O55</f>
        <v>0</v>
      </c>
      <c r="C55" s="101">
        <f>D55+E55+F55</f>
        <v>0</v>
      </c>
      <c r="D55" s="101">
        <v>0</v>
      </c>
      <c r="E55" s="101">
        <v>0</v>
      </c>
      <c r="F55" s="101">
        <v>0</v>
      </c>
      <c r="G55" s="101">
        <f>H55+I55+J55</f>
        <v>0</v>
      </c>
      <c r="H55" s="101">
        <v>0</v>
      </c>
      <c r="I55" s="101">
        <v>0</v>
      </c>
      <c r="J55" s="101">
        <v>0</v>
      </c>
      <c r="K55" s="79">
        <f>L55+M55+N55</f>
        <v>0</v>
      </c>
      <c r="L55" s="101">
        <v>0</v>
      </c>
      <c r="M55" s="101">
        <v>0</v>
      </c>
      <c r="N55" s="101">
        <v>0</v>
      </c>
      <c r="O55" s="101">
        <f>P55+Q55+R55</f>
        <v>0</v>
      </c>
      <c r="P55" s="101">
        <v>0</v>
      </c>
      <c r="Q55" s="101">
        <v>0</v>
      </c>
      <c r="R55" s="79">
        <v>0</v>
      </c>
      <c r="S55" s="103"/>
      <c r="T55" s="103"/>
    </row>
    <row r="56" spans="1:20" s="107" customFormat="1" ht="27" customHeight="1">
      <c r="A56" s="48" t="s">
        <v>63</v>
      </c>
      <c r="B56" s="104">
        <f>C56+G56+K56+O56</f>
        <v>0</v>
      </c>
      <c r="C56" s="104">
        <f>D56+E56+F56</f>
        <v>0</v>
      </c>
      <c r="D56" s="104">
        <v>0</v>
      </c>
      <c r="E56" s="104">
        <v>0</v>
      </c>
      <c r="F56" s="104">
        <v>0</v>
      </c>
      <c r="G56" s="104">
        <f>H56+I56+J56</f>
        <v>0</v>
      </c>
      <c r="H56" s="104">
        <v>0</v>
      </c>
      <c r="I56" s="104">
        <v>0</v>
      </c>
      <c r="J56" s="104">
        <v>0</v>
      </c>
      <c r="K56" s="105">
        <f>L56+M56+N56</f>
        <v>0</v>
      </c>
      <c r="L56" s="104">
        <v>0</v>
      </c>
      <c r="M56" s="104">
        <v>0</v>
      </c>
      <c r="N56" s="104">
        <v>0</v>
      </c>
      <c r="O56" s="104">
        <f>P56+Q56+R56</f>
        <v>0</v>
      </c>
      <c r="P56" s="104">
        <v>0</v>
      </c>
      <c r="Q56" s="104">
        <v>0</v>
      </c>
      <c r="R56" s="94">
        <v>0</v>
      </c>
      <c r="S56" s="100">
        <f>O56+K56+G56+C56</f>
        <v>0</v>
      </c>
      <c r="T56" s="100">
        <f>B56-Q56-R56</f>
        <v>0</v>
      </c>
    </row>
    <row r="57" spans="1:22" ht="19.5" customHeight="1">
      <c r="A57" s="51" t="s">
        <v>57</v>
      </c>
      <c r="B57" s="83">
        <f aca="true" t="shared" si="20" ref="B57:R57">B46+B6</f>
        <v>51009000</v>
      </c>
      <c r="C57" s="83">
        <f t="shared" si="20"/>
        <v>8431571</v>
      </c>
      <c r="D57" s="83">
        <f t="shared" si="20"/>
        <v>2219209</v>
      </c>
      <c r="E57" s="83">
        <f t="shared" si="20"/>
        <v>2694981</v>
      </c>
      <c r="F57" s="83">
        <f t="shared" si="20"/>
        <v>3517381</v>
      </c>
      <c r="G57" s="83">
        <f t="shared" si="20"/>
        <v>10788143</v>
      </c>
      <c r="H57" s="83">
        <f t="shared" si="20"/>
        <v>4661181</v>
      </c>
      <c r="I57" s="83">
        <f t="shared" si="20"/>
        <v>2869581</v>
      </c>
      <c r="J57" s="83">
        <f t="shared" si="20"/>
        <v>3257381</v>
      </c>
      <c r="K57" s="83">
        <f t="shared" si="20"/>
        <v>11231043</v>
      </c>
      <c r="L57" s="83">
        <f t="shared" si="20"/>
        <v>3709781</v>
      </c>
      <c r="M57" s="83">
        <f t="shared" si="20"/>
        <v>3489781</v>
      </c>
      <c r="N57" s="83">
        <f t="shared" si="20"/>
        <v>4046481</v>
      </c>
      <c r="O57" s="83">
        <f t="shared" si="20"/>
        <v>20558243</v>
      </c>
      <c r="P57" s="83">
        <f t="shared" si="20"/>
        <v>5419781</v>
      </c>
      <c r="Q57" s="83">
        <f t="shared" si="20"/>
        <v>7079781</v>
      </c>
      <c r="R57" s="83">
        <f t="shared" si="20"/>
        <v>8058681</v>
      </c>
      <c r="S57" s="106">
        <f>S6+S46</f>
        <v>24154695</v>
      </c>
      <c r="T57" s="106">
        <f>T6+T46</f>
        <v>35870538</v>
      </c>
      <c r="U57" s="108"/>
      <c r="V57" s="109"/>
    </row>
    <row r="58" spans="1:22" ht="56.25" customHeight="1">
      <c r="A58" s="147" t="s">
        <v>74</v>
      </c>
      <c r="B58" s="148"/>
      <c r="C58" s="148"/>
      <c r="D58" s="124"/>
      <c r="E58" s="124"/>
      <c r="F58" s="125"/>
      <c r="G58" s="126"/>
      <c r="H58" s="126"/>
      <c r="I58" s="125" t="s">
        <v>75</v>
      </c>
      <c r="J58" s="126"/>
      <c r="K58" s="127"/>
      <c r="L58" s="128"/>
      <c r="M58" s="126"/>
      <c r="N58" s="126"/>
      <c r="O58" s="126"/>
      <c r="P58" s="128"/>
      <c r="Q58" s="128"/>
      <c r="R58" s="126"/>
      <c r="S58" s="15">
        <f>B58-R58</f>
        <v>0</v>
      </c>
      <c r="T58" s="15"/>
      <c r="U58" s="108">
        <f>R57+Q57+P57+N57+M57+L57+J57+I57+H57+F57+E57+D57</f>
        <v>51024000</v>
      </c>
      <c r="V58" s="109"/>
    </row>
    <row r="59" spans="1:20" ht="40.5" customHeight="1">
      <c r="A59" s="17" t="s">
        <v>73</v>
      </c>
      <c r="B59" s="18"/>
      <c r="C59" s="17"/>
      <c r="D59" s="17"/>
      <c r="P59" s="17"/>
      <c r="Q59" s="17"/>
      <c r="S59" s="15">
        <f>B59-R59</f>
        <v>0</v>
      </c>
      <c r="T59" s="15"/>
    </row>
    <row r="60" spans="1:20" ht="40.5" customHeight="1">
      <c r="A60" s="27"/>
      <c r="B60" s="19"/>
      <c r="C60" s="16"/>
      <c r="D60" s="16"/>
      <c r="E60" s="16"/>
      <c r="F60" s="16"/>
      <c r="S60" s="15" t="e">
        <f>#REF!-R60</f>
        <v>#REF!</v>
      </c>
      <c r="T60" s="15"/>
    </row>
    <row r="61" spans="1:20" ht="12.75">
      <c r="A61" s="27"/>
      <c r="B61" s="19"/>
      <c r="C61" s="19"/>
      <c r="D61" s="19"/>
      <c r="E61" s="19"/>
      <c r="F61" s="19"/>
      <c r="G61" s="25"/>
      <c r="H61" s="25"/>
      <c r="I61" s="25"/>
      <c r="S61" s="15">
        <f>B60-R61</f>
        <v>0</v>
      </c>
      <c r="T61" s="15"/>
    </row>
    <row r="62" spans="1:20" ht="12.75" customHeight="1">
      <c r="A62" s="28"/>
      <c r="B62" s="29"/>
      <c r="C62" s="29"/>
      <c r="D62" s="29"/>
      <c r="E62" s="29"/>
      <c r="F62" s="29"/>
      <c r="G62" s="26"/>
      <c r="H62" s="26"/>
      <c r="I62" s="4"/>
      <c r="J62" s="4"/>
      <c r="K62" s="4"/>
      <c r="L62" s="4"/>
      <c r="M62" s="4"/>
      <c r="N62" s="4"/>
      <c r="O62" s="4"/>
      <c r="P62" s="4"/>
      <c r="Q62" s="4"/>
      <c r="R62" s="4"/>
      <c r="S62" s="15">
        <f>B62-R62</f>
        <v>0</v>
      </c>
      <c r="T62" s="15"/>
    </row>
    <row r="63" spans="1:20" ht="12.75" customHeight="1">
      <c r="A63" s="28"/>
      <c r="B63" s="29"/>
      <c r="C63" s="29"/>
      <c r="D63" s="29"/>
      <c r="E63" s="29"/>
      <c r="F63" s="29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  <c r="T63" s="15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6" ht="12.75">
      <c r="E106" s="3" t="s">
        <v>29</v>
      </c>
    </row>
  </sheetData>
  <sheetProtection/>
  <mergeCells count="5">
    <mergeCell ref="A4:A5"/>
    <mergeCell ref="B4:B5"/>
    <mergeCell ref="D4:R4"/>
    <mergeCell ref="A2:R2"/>
    <mergeCell ref="A58:C58"/>
  </mergeCells>
  <printOptions/>
  <pageMargins left="0.15748031496062992" right="0.15748031496062992" top="0.22" bottom="0" header="0.22" footer="0.5118110236220472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gricenko_m</dc:creator>
  <cp:keywords/>
  <dc:description/>
  <cp:lastModifiedBy>1</cp:lastModifiedBy>
  <cp:lastPrinted>2019-01-11T10:29:50Z</cp:lastPrinted>
  <dcterms:created xsi:type="dcterms:W3CDTF">2009-02-13T05:27:34Z</dcterms:created>
  <dcterms:modified xsi:type="dcterms:W3CDTF">2019-04-01T06:58:08Z</dcterms:modified>
  <cp:category/>
  <cp:version/>
  <cp:contentType/>
  <cp:contentStatus/>
</cp:coreProperties>
</file>