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на 01.01.2023 г." sheetId="1" r:id="rId1"/>
    <sheet name="на 01.02.2023 г." sheetId="2" r:id="rId2"/>
    <sheet name="на 01.03.2023 г." sheetId="3" r:id="rId3"/>
    <sheet name="на 01.04.2023 г." sheetId="4" r:id="rId4"/>
  </sheets>
  <definedNames/>
  <calcPr fullCalcOnLoad="1"/>
</workbook>
</file>

<file path=xl/sharedStrings.xml><?xml version="1.0" encoding="utf-8"?>
<sst xmlns="http://schemas.openxmlformats.org/spreadsheetml/2006/main" count="2882" uniqueCount="236">
  <si>
    <t>Наименование статьи расхода</t>
  </si>
  <si>
    <t>КЦСР</t>
  </si>
  <si>
    <t>КВР</t>
  </si>
  <si>
    <t>КОСГУ</t>
  </si>
  <si>
    <t xml:space="preserve">мероприятие </t>
  </si>
  <si>
    <t>Заработная плата</t>
  </si>
  <si>
    <t>01 13</t>
  </si>
  <si>
    <t>Начисления на оплату труда</t>
  </si>
  <si>
    <t>01 02</t>
  </si>
  <si>
    <t>01 04</t>
  </si>
  <si>
    <t>Услуги связи</t>
  </si>
  <si>
    <t>Коммунальные услуги</t>
  </si>
  <si>
    <t>Услуги по содерж.имущества</t>
  </si>
  <si>
    <t>Прочие услуги</t>
  </si>
  <si>
    <t>Прочие расходы</t>
  </si>
  <si>
    <t>Увелич.стоимости матер.запасов</t>
  </si>
  <si>
    <t>Увеличение стоимости ОС</t>
  </si>
  <si>
    <t>01 11</t>
  </si>
  <si>
    <t>02 03</t>
  </si>
  <si>
    <t>03 14</t>
  </si>
  <si>
    <t>04 12</t>
  </si>
  <si>
    <t>05 02</t>
  </si>
  <si>
    <t>05 03</t>
  </si>
  <si>
    <t>08 01</t>
  </si>
  <si>
    <t>11 02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</si>
  <si>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</si>
  <si>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</si>
  <si>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</si>
  <si>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</si>
  <si>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</si>
  <si>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</si>
  <si>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</si>
  <si>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</si>
  <si>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</si>
  <si>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</si>
  <si>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</si>
  <si>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</si>
  <si>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01.01.00.</t>
  </si>
  <si>
    <t>вода</t>
  </si>
  <si>
    <t>эл/эн</t>
  </si>
  <si>
    <t>газ</t>
  </si>
  <si>
    <t>ГСМ</t>
  </si>
  <si>
    <t>04 09</t>
  </si>
  <si>
    <t>ДК</t>
  </si>
  <si>
    <t>10 01</t>
  </si>
  <si>
    <t>всего по разделу</t>
  </si>
  <si>
    <t>01 06</t>
  </si>
  <si>
    <t>КСП</t>
  </si>
  <si>
    <t xml:space="preserve">01 11 </t>
  </si>
  <si>
    <t>Подпрограмма "Обеспечение ведения бухгалтерского учета"</t>
  </si>
  <si>
    <t>налоги</t>
  </si>
  <si>
    <t>Подпрограмма "Обеспечение хозяйственного обслуживания администрации Старотитаровского сельского поселения Темрюкского района"</t>
  </si>
  <si>
    <t>Подпрограмма "Обеспечение осуществления закупок товаров, работ и услуг для муниципальных нужд"</t>
  </si>
  <si>
    <t>ТОС</t>
  </si>
  <si>
    <t>всего по лицевому счету       01</t>
  </si>
  <si>
    <t>Обеспечение первичного воинского учета на территориях, где отсутствуют военные комиссариаты</t>
  </si>
  <si>
    <t>ВУС (з/п)</t>
  </si>
  <si>
    <t>ВУС                   (начисления)</t>
  </si>
  <si>
    <t>всего по лицевому счету       02</t>
  </si>
  <si>
    <t>всего по лицевому счету       03</t>
  </si>
  <si>
    <t>Работы, услуги по содержанию имущества</t>
  </si>
  <si>
    <t>всего по лицевому счету       04</t>
  </si>
  <si>
    <t>всего по лицевому счету       05</t>
  </si>
  <si>
    <t>всего по лицевому счету       07</t>
  </si>
  <si>
    <t>библиотеки</t>
  </si>
  <si>
    <t>ДК отопление</t>
  </si>
  <si>
    <t xml:space="preserve">краевые </t>
  </si>
  <si>
    <t>Комплектование книжных фондов библиотек муниципальных образований</t>
  </si>
  <si>
    <t>всего по лицевому счету       08</t>
  </si>
  <si>
    <t>10 06</t>
  </si>
  <si>
    <t>всего по лицевому счету       10</t>
  </si>
  <si>
    <t>интернет</t>
  </si>
  <si>
    <t>телефон</t>
  </si>
  <si>
    <t>свет</t>
  </si>
  <si>
    <t>всего по лицевому счету       11</t>
  </si>
  <si>
    <t>ДК и библиотеки</t>
  </si>
  <si>
    <t>Обслуживание государственного и муниципального долга</t>
  </si>
  <si>
    <t>13 01</t>
  </si>
  <si>
    <t>кредит  проценты</t>
  </si>
  <si>
    <t>ГСМ, запчасти</t>
  </si>
  <si>
    <t xml:space="preserve">на поэтап повышение зп и стимулир выплаты </t>
  </si>
  <si>
    <t>Глава Старотитаровского сельского поселения Темрюкского района</t>
  </si>
  <si>
    <t>А.Г. Титаренко</t>
  </si>
  <si>
    <t>Начальник финансового отдела</t>
  </si>
  <si>
    <t>администрации  Старотитаровского сельского поселения Темрюкского района</t>
  </si>
  <si>
    <t>Раздел 2. Прогноз кассовых выплат из бюджета Старотитаровского сельского поселения Темрюкского района</t>
  </si>
  <si>
    <t>ИТОГО РАСХОДЫ:</t>
  </si>
  <si>
    <t>992</t>
  </si>
  <si>
    <t>Сумма на год, всего</t>
  </si>
  <si>
    <t>2.2. Прогноз кассовых выплат в части источников финансирования дефицита бюджета Старотитаровского сельского поселения Темрюкского района</t>
  </si>
  <si>
    <t>ИТОГО ПРОГНОЗ КАССОВЫХ ВЫПЛАТ В ЧАСТИ ИСТОЧНИКОВ ФИНАНСИРОВАНИЯ ДЕФИЦИТА БЮДЖЕТА</t>
  </si>
  <si>
    <t>Код источника финансирования дефицита бюджета по бюджетной классификации</t>
  </si>
  <si>
    <t>01030100100000 710</t>
  </si>
  <si>
    <t>01030100100000 810</t>
  </si>
  <si>
    <t>,</t>
  </si>
  <si>
    <t>Обслуживание муниципального долга</t>
  </si>
  <si>
    <t>всего по лицевому счету       13</t>
  </si>
  <si>
    <t>Главный администратор расходов, источников финанси-рования дефицита бюджета, главный распорядитель</t>
  </si>
  <si>
    <t>Коды бюджетной классификации</t>
  </si>
  <si>
    <t>в том числе</t>
  </si>
  <si>
    <t xml:space="preserve">КАССОВЫЙ ПЛАН </t>
  </si>
  <si>
    <t>КР КП</t>
  </si>
  <si>
    <t>6800000000</t>
  </si>
  <si>
    <t>6800110370</t>
  </si>
  <si>
    <t>Муниципальная программа "Реализация муниципальных функций, связанных с муниципальным управлением  в Старотитаровском сельском поселеии Темрюкского района"</t>
  </si>
  <si>
    <t>Муниципальная программа "Обеспечение функций муниципальных казенных учреждений в Старотитаровском сельском поселении Темрюкского района "</t>
  </si>
  <si>
    <t>07 05</t>
  </si>
  <si>
    <t>Муниципальная программа "Муниципальная политика и развитие гражданского общества в Старотитаровском сельском поселении Темрюкского района"</t>
  </si>
  <si>
    <t xml:space="preserve">Подпрограмма "Поддержка деятельности территориального общественного самоуправления на территории  Старотитаровского сельского поселения Темрюкского района" </t>
  </si>
  <si>
    <t xml:space="preserve">Подпрограмма "О мероприятиях в области энергосбережения и повышения энергетической эффективности на территории Старотитаровского сельского поселения Темрюкского района" </t>
  </si>
  <si>
    <t xml:space="preserve">Подпрограмма "Реализция муниципальной политики в сфере приватизации муниципального имущества Старотитаровского сельского поселения Темрюкского района" </t>
  </si>
  <si>
    <t xml:space="preserve">Муниципальная программа "Развитие информационного общества в Старотитаровском сельском поселении Темрюкского района" </t>
  </si>
  <si>
    <t xml:space="preserve">Муниципальная программа "О мероприятиях, проводимых администрацией Старотитаровского сельского поселения Темрюкского района к праздничным дням и памятным датам" </t>
  </si>
  <si>
    <t>Муниципальная программа "Формирование доступной среды жизнедеятельности для инвалидов  в Старотитаровском сельском поселении Темрюкского района "</t>
  </si>
  <si>
    <t xml:space="preserve">Муниципальная программа "Обеспечение безопасности населения в Старотитаровском сельском поселении Темрюкского района" </t>
  </si>
  <si>
    <t>03 10</t>
  </si>
  <si>
    <t xml:space="preserve">Подпрограмма "Обеспечение первичных мер пожарной безопасности в Старотитаровском сельском поселении Темрюкского района" </t>
  </si>
  <si>
    <t xml:space="preserve">Подпрограмма "Укрепление правопорядка, профилактика правонарушений, усиление борьбы с преступностью в Старотитаровском сельском поселении Темрюкского района" </t>
  </si>
  <si>
    <t xml:space="preserve">Муниципальная программа "Противодействие коррупции  в Старотитаровском сельском поселении Темрюкского района" </t>
  </si>
  <si>
    <t>Муниципальная программа "Комплексное и устойчивое развитие Старотитаровского сельского поселения Темрюкского района в сфере строительства, архитектуры и дорожного хозяйства"</t>
  </si>
  <si>
    <t xml:space="preserve">Подпрограмма "Капитальный ремонт и ремонт автомобильных дорог местного значения Старотитаровского сельского поселения Темрюкского района" </t>
  </si>
  <si>
    <t xml:space="preserve">Подпрограмма "Повышение безопасности дорожного движения на территории Старотитаровского сельского поселения Темрюкского района" </t>
  </si>
  <si>
    <t>Муниципальная программа "О подготовке землеустроительной документации на территории Старотитаровского сельского поселения Темрюкского района"</t>
  </si>
  <si>
    <t>Муниципальная программа "Развитие жилищно-коммунального хозяйства  в Старотитаровском сельском поселении Темрюкского района"</t>
  </si>
  <si>
    <t xml:space="preserve">Подпрограмма "Развитие водопроводно-канализационного комплекса Старотитаровского сельского поселения Темрюкского района"  </t>
  </si>
  <si>
    <t xml:space="preserve">Подпрограмма "По обеспечению земельных участков инженерной инфраструктурой в целях жилищного строительства, в том числе жилья эконом-класса и жилья из быстровозводимых конструкций на территории Старотитаровского сельского поселения Темрюкского района " </t>
  </si>
  <si>
    <t>Муниципальная программа "Комплексное развитие системы благоустройства на территорий Старотитаровского сельского поселения Темрюкского района"</t>
  </si>
  <si>
    <t xml:space="preserve">Подпрограмма "Организация уличного  освещения Старотитаровского сельского поселения Темрюкского района" </t>
  </si>
  <si>
    <t xml:space="preserve">Муниципальная программа "Развитие культуры Старотитаровского сельского поселения Темрюкского района" </t>
  </si>
  <si>
    <t>Подпрограмма "Совершенствование деятельности МБУ "Старотитаровский КСЦ" по предоставлению муниципальных услуг"</t>
  </si>
  <si>
    <t xml:space="preserve">Подпрограмма "Кадровое обеспечение сферы культуры и искусства Старотитаровского сельского поселения Темрюкского района" </t>
  </si>
  <si>
    <t xml:space="preserve">Подпрограмма "Основные направления развития культуры Старотитаровского сельского поселения Темрюкского района" </t>
  </si>
  <si>
    <t xml:space="preserve">Муниципальная программа "Сохранение, использование и охрана объектов культурного наследия (памятников истории и культуры) местного значения, расположенных на территории Старотитаровского сельского поселения Темрюкского района" </t>
  </si>
  <si>
    <t xml:space="preserve">Муниципальная программа "Пенсионное обеспечение за выслугу лет лицам, замещавшим муниципальные должности и должности муниципальной службы  Старотитаровского сельского поселения Темрюкского района" </t>
  </si>
  <si>
    <t>Муниципальная программа "Поддержка социально ориентированных некоммерческих организаций, осуществляющих деятельность на территории  Старотитаровского сельского поселения Темрюкского района"</t>
  </si>
  <si>
    <t xml:space="preserve">Муниципальная программа "Развитие физической культуры и массового спорта на территории Старотитаровского сельского поселения Темрюкского района" </t>
  </si>
  <si>
    <t xml:space="preserve">Подпрограмма "Совершенствование деятельности МБУ "ФОСК "Виктория" по предоставлению муниципальных услуг" </t>
  </si>
  <si>
    <t xml:space="preserve">Подпрограмма "Создание условий для занятия физической культурой и спортом на территории Старотитаровского сельского поселения Темрюкского района" </t>
  </si>
  <si>
    <t xml:space="preserve">Подпрограмма "Развитие массового спорта в Старотитаровском сельском поселении Темрюкского района" </t>
  </si>
  <si>
    <t xml:space="preserve">Муниципальная программа "Комплексное развитие сельских территорий в Старотитаровском сельском поселении Темрюкского района"  </t>
  </si>
  <si>
    <t>5200000000</t>
  </si>
  <si>
    <t>5110100190</t>
  </si>
  <si>
    <t>5610110290</t>
  </si>
  <si>
    <t>8610051180</t>
  </si>
  <si>
    <t xml:space="preserve">Подпрограмма "Защита населения, территории Старотитаровского сельского поселения Темрюкского района и объектов социальной сферы от чрезвычайных и техногенных ситуаций" </t>
  </si>
  <si>
    <t>5810112440</t>
  </si>
  <si>
    <t>Муниципальная программа "Формирование комфортной городской среды Старотитаровского сельского поселения Темрюкского района"</t>
  </si>
  <si>
    <t xml:space="preserve">Подпрограмма "Обеспечение деятельности муниципального бюджетного учреждения "Организация системы благоустроуства" </t>
  </si>
  <si>
    <t>8510000480</t>
  </si>
  <si>
    <t>8810000470</t>
  </si>
  <si>
    <t>8110060190</t>
  </si>
  <si>
    <t>8310000190</t>
  </si>
  <si>
    <t>8210000190</t>
  </si>
  <si>
    <t>8410010490</t>
  </si>
  <si>
    <t xml:space="preserve">Подпрограмма "Прочее благоустройство территории общего пользования Старотитаровского сельского поселения Темрюкского района" </t>
  </si>
  <si>
    <t>Фонд оплаты труда государственных (муниципальных) органов (Заработная плата)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</si>
  <si>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 (Начисления на выплаты по оплате труда)</t>
  </si>
  <si>
    <t>Прочая закупка товаров, работ и услуг (Оплата работ, услуг)</t>
  </si>
  <si>
    <t>Прочая закупка товаров, работ и услуг (Увелич.стоимости матер.запасов)</t>
  </si>
  <si>
    <t>Уплата налога на имущество организаций и земельного налога</t>
  </si>
  <si>
    <t xml:space="preserve">Уплата иных платежей
</t>
  </si>
  <si>
    <t>Административные комиссии. Прочая закупка товаров, работ и услуг (Увелич.стоимости матер.запасов)</t>
  </si>
  <si>
    <t>Обеспечение деятельности отдела внутреннего финансового контроля администрации муниципального образования Темрюкский район. 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</si>
  <si>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надзора. Иные межбюджетные трансферты</t>
  </si>
  <si>
    <t>Резервный фонд. Резервные средства</t>
  </si>
  <si>
    <t>Фонд оплаты труда учреждений.Заработная плата</t>
  </si>
  <si>
    <t>Взносы по обязательному социальному страхованию на выплаты по оплате труда работников и иные выплаты работникам учреждений.Начисления на выплаты по оплате труда</t>
  </si>
  <si>
    <t xml:space="preserve">Уплата прочих налогов,сборов
</t>
  </si>
  <si>
    <t>Закупка энергетических ресурсов. (Коммунальные услуги)</t>
  </si>
  <si>
    <t>Закупка товаров, работ, услуг в сфере информационно-коммуникационных технологий. (Услуги связи)</t>
  </si>
  <si>
    <t xml:space="preserve">Иные выплаты населению </t>
  </si>
  <si>
    <t>Подпрограмма "Развитие, эксплуатация и обслуживание информационно-коммуникационных технологий  Старотитаровского сельского поселения Темрюкского района "</t>
  </si>
  <si>
    <t xml:space="preserve">Подпрограмма "Обеспечение информационного освещения деятельности Старотитаровского сельского поселения Темрюкского района" </t>
  </si>
  <si>
    <t>Прочая закупка товаров, работ и услуг.Увеличение стоимости ОС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</si>
  <si>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</si>
  <si>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Бюджетные инвестиции в объекты капитального строительства государственной (муниципальной) собственности</t>
  </si>
  <si>
    <t>Иные пенсии, социальные доплаты к пенсиям</t>
  </si>
  <si>
    <t>Субсидии (гранты в форме субсидий), не подлежащие казначейскому сопровождению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</si>
  <si>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работ).Заработная плата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</si>
  <si>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работ).Начисления на выплаты по оплате труда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</si>
  <si>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работ).Закупка энергетических ресурсов. (Коммунальные услуги)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</si>
  <si>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(Услуги связи)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</si>
  <si>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работ).Уплата налога на имущество организаций и земельного налога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</si>
  <si>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работ).Прочая закупка товаров, работ и услуг (Увелич.стоимости матер.запасов)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</si>
  <si>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работ).Прочая закупка товаров, работ и услуг (Оплата работ, услуг)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</si>
  <si>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работ).Прочая закупка товаров, работ и услуг (Оплата работ, услуг)(вода)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</si>
  <si>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работ).Фонд оплаты труда учреждений.Заработная плата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</si>
  <si>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работ).Коммунальные услуги(вод)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</si>
  <si>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</t>
  </si>
  <si>
    <t>Прочие расходы, услуги. Прочая закупка товаров, работ и услуг (Увелич.стоимости матер.запасов)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</si>
  <si>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</si>
  <si>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</si>
  <si>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 xml:space="preserve">Осуществление полномочий отдельных муниципальных заказчиков, заказчиков Старотитаровского сельского поселения Темрюкского района на определение поставщиков (подрядчиков, исполнителей) при осуществлении конкурентных способов закупок товаров, работ, услуг. </t>
  </si>
  <si>
    <t>Муниципальная программа "Поддержка и развитие малого и среднего предпринимательства, физических лиц, ен являющихся индивидуальными предпринимателями и применяющих специальный налоговый режим "налог на профессиональный доход"  в Старотитаровском сельском п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</si>
  <si>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работ).Закупка товаров, работ, услуг в сфере информационно-коммуникационных технологий. (Услуг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</si>
  <si>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работ).Взносы по обязательному социальному страхованию на выплаты по оплате труда работников и</t>
  </si>
  <si>
    <t>А.Ю. Лобыцина</t>
  </si>
  <si>
    <t>Уплата прочих налогов, сборов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</si>
  <si>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</si>
  <si>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8910010050</t>
  </si>
  <si>
    <t>Иные выплаты персоналу учреждения, за исключением фонда оплаты труда</t>
  </si>
  <si>
    <t>Уплата иных платежей</t>
  </si>
  <si>
    <t xml:space="preserve"> </t>
  </si>
  <si>
    <t>Осуществление части полномочий по решению вопросов местного значения Старотитаровского сельского поселения Темрюкского района о создании условий для обеспечения жителей поселения услугами торговли</t>
  </si>
  <si>
    <t>Осуществление прочих расходов Старотитаровского сельского поселения Темрюкского района</t>
  </si>
  <si>
    <t>исполнения бюджета Старотитаровского сельского поселения Темрюкского района на 1 января 2023 год</t>
  </si>
  <si>
    <t xml:space="preserve"> с </t>
  </si>
  <si>
    <t>услуги связи</t>
  </si>
  <si>
    <t>коммунальные услуги</t>
  </si>
  <si>
    <t>канцтовары, хозтовары</t>
  </si>
  <si>
    <t xml:space="preserve">свет </t>
  </si>
  <si>
    <t xml:space="preserve">телефон </t>
  </si>
  <si>
    <t xml:space="preserve"> интернет </t>
  </si>
  <si>
    <t xml:space="preserve"> вода</t>
  </si>
  <si>
    <t>газ библиотека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</si>
  <si>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работ).Увеличение стоимости материальных запасов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</si>
  <si>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работ).Увеличение стоимости основных средств</t>
  </si>
  <si>
    <t>исполнения бюджета Старотитаровского сельского поселения Темрюкского района на 1 февраля 2023 год</t>
  </si>
  <si>
    <t>221 услуги связи</t>
  </si>
  <si>
    <t>223 коммунальные услуги свет</t>
  </si>
  <si>
    <t>852 налоги</t>
  </si>
  <si>
    <t>343 ГСМ, запчасти</t>
  </si>
  <si>
    <t>346 мат запасы</t>
  </si>
  <si>
    <t>346 канцтовары, хозтовары</t>
  </si>
  <si>
    <t>226 прочие работ, услуги</t>
  </si>
  <si>
    <t>225 содержание имущества</t>
  </si>
  <si>
    <t>ИБ</t>
  </si>
  <si>
    <t>211 ДК и библиотеки</t>
  </si>
  <si>
    <t>219 ДК и библиотеки</t>
  </si>
  <si>
    <t>свет, газ</t>
  </si>
  <si>
    <t>Специалист 1 категории финансового отдела</t>
  </si>
  <si>
    <t>Н.В. Титаренко</t>
  </si>
  <si>
    <t>исполнения бюджета Старотитаровского сельского поселения Темрюкского района на 1 марта 2023 год</t>
  </si>
  <si>
    <t>исполнения бюджета Старотитаровского сельского поселения Темрюкского района на 1 апреля 2023 год</t>
  </si>
  <si>
    <t>9010010050</t>
  </si>
  <si>
    <t>Осуществление части полномочий по решению вопросов местного значения Старотитаровского сельского поселения Темрюкского района о создании условий для обеспечения жителей поселения услугами торговли (нестационарная торговля)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</si>
</sst>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2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" fontId="6" fillId="34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8" fillId="0" borderId="10" xfId="0" applyFont="1" applyFill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14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4" fontId="7" fillId="34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6" fillId="34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12" fillId="33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4" fontId="7" fillId="33" borderId="0" xfId="0" applyNumberFormat="1" applyFont="1" applyFill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4" fontId="13" fillId="35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7" fillId="0" borderId="10" xfId="0" applyFont="1" applyBorder="1" applyAlignment="1">
      <alignment vertical="center" wrapText="1"/>
    </xf>
    <xf numFmtId="4" fontId="7" fillId="35" borderId="10" xfId="0" applyNumberFormat="1" applyFont="1" applyFill="1" applyBorder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13" fillId="34" borderId="1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7" fillId="34" borderId="1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14" fontId="7" fillId="0" borderId="1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7" fillId="35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/>
    </xf>
    <xf numFmtId="2" fontId="7" fillId="33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6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6" fillId="34" borderId="0" xfId="0" applyNumberFormat="1" applyFont="1" applyFill="1" applyAlignment="1">
      <alignment vertical="center"/>
    </xf>
    <xf numFmtId="4" fontId="6" fillId="34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 wrapText="1"/>
    </xf>
    <xf numFmtId="49" fontId="7" fillId="36" borderId="10" xfId="0" applyNumberFormat="1" applyFont="1" applyFill="1" applyBorder="1" applyAlignment="1">
      <alignment vertical="center"/>
    </xf>
    <xf numFmtId="49" fontId="7" fillId="37" borderId="1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/>
    </xf>
    <xf numFmtId="4" fontId="13" fillId="35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3" fillId="34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 wrapText="1" shrinkToFi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4" fontId="6" fillId="34" borderId="10" xfId="0" applyNumberFormat="1" applyFont="1" applyFill="1" applyBorder="1" applyAlignment="1">
      <alignment horizontal="right" vertical="center"/>
    </xf>
    <xf numFmtId="4" fontId="7" fillId="34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0" fillId="34" borderId="0" xfId="0" applyNumberFormat="1" applyFont="1" applyFill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" fontId="16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7" fillId="10" borderId="0" xfId="0" applyNumberFormat="1" applyFont="1" applyFill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6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49" fontId="15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8"/>
  <sheetViews>
    <sheetView zoomScalePageLayoutView="0" workbookViewId="0" topLeftCell="A1">
      <pane ySplit="8" topLeftCell="A327" activePane="bottomLeft" state="frozen"/>
      <selection pane="topLeft" activeCell="A1" sqref="A1"/>
      <selection pane="bottomLeft" activeCell="V1" sqref="V1:V16384"/>
    </sheetView>
  </sheetViews>
  <sheetFormatPr defaultColWidth="9.140625" defaultRowHeight="12.75"/>
  <cols>
    <col min="1" max="1" width="12.28125" style="1" customWidth="1"/>
    <col min="2" max="2" width="30.28125" style="0" customWidth="1"/>
    <col min="4" max="4" width="13.00390625" style="0" customWidth="1"/>
    <col min="5" max="5" width="7.140625" style="0" customWidth="1"/>
    <col min="6" max="6" width="4.7109375" style="0" hidden="1" customWidth="1"/>
    <col min="7" max="7" width="9.7109375" style="0" hidden="1" customWidth="1"/>
    <col min="8" max="8" width="14.00390625" style="0" customWidth="1"/>
    <col min="9" max="9" width="12.57421875" style="0" customWidth="1"/>
    <col min="10" max="10" width="11.8515625" style="0" customWidth="1"/>
    <col min="11" max="11" width="11.7109375" style="0" customWidth="1"/>
    <col min="12" max="13" width="12.421875" style="0" customWidth="1"/>
    <col min="14" max="14" width="12.7109375" style="0" customWidth="1"/>
    <col min="15" max="15" width="12.421875" style="0" customWidth="1"/>
    <col min="16" max="16" width="12.7109375" style="0" customWidth="1"/>
    <col min="17" max="17" width="13.140625" style="0" customWidth="1"/>
    <col min="18" max="18" width="13.28125" style="0" customWidth="1"/>
    <col min="19" max="19" width="12.28125" style="0" customWidth="1"/>
    <col min="20" max="20" width="15.28125" style="0" customWidth="1"/>
    <col min="21" max="21" width="3.140625" style="0" customWidth="1"/>
    <col min="22" max="22" width="12.7109375" style="0" hidden="1" customWidth="1"/>
  </cols>
  <sheetData>
    <row r="1" ht="12.75">
      <c r="V1" t="s">
        <v>202</v>
      </c>
    </row>
    <row r="2" spans="1:21" ht="15.75">
      <c r="A2" s="126" t="s">
        <v>100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82"/>
    </row>
    <row r="3" spans="1:21" ht="15.75">
      <c r="A3" s="126" t="s">
        <v>205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82"/>
    </row>
    <row r="4" spans="1:21" ht="15.75">
      <c r="A4" s="127" t="s">
        <v>85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83"/>
    </row>
    <row r="5" spans="1:21" ht="15.75">
      <c r="A5" s="127" t="s">
        <v>202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83"/>
    </row>
    <row r="6" spans="1:22" ht="26.25" customHeight="1">
      <c r="A6" s="135" t="s">
        <v>97</v>
      </c>
      <c r="B6" s="133" t="s">
        <v>0</v>
      </c>
      <c r="C6" s="130" t="s">
        <v>98</v>
      </c>
      <c r="D6" s="130"/>
      <c r="E6" s="130"/>
      <c r="F6" s="130"/>
      <c r="G6" s="130"/>
      <c r="H6" s="129" t="s">
        <v>99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99"/>
      <c r="V6" s="22"/>
    </row>
    <row r="7" spans="1:22" ht="31.5" customHeight="1">
      <c r="A7" s="135"/>
      <c r="B7" s="133"/>
      <c r="C7" s="130"/>
      <c r="D7" s="130"/>
      <c r="E7" s="130"/>
      <c r="F7" s="130"/>
      <c r="G7" s="130"/>
      <c r="H7" s="128" t="s">
        <v>88</v>
      </c>
      <c r="I7" s="131" t="s">
        <v>25</v>
      </c>
      <c r="J7" s="131" t="s">
        <v>26</v>
      </c>
      <c r="K7" s="131" t="s">
        <v>27</v>
      </c>
      <c r="L7" s="131" t="s">
        <v>28</v>
      </c>
      <c r="M7" s="131" t="s">
        <v>29</v>
      </c>
      <c r="N7" s="131" t="s">
        <v>30</v>
      </c>
      <c r="O7" s="131" t="s">
        <v>31</v>
      </c>
      <c r="P7" s="131" t="s">
        <v>32</v>
      </c>
      <c r="Q7" s="131" t="s">
        <v>33</v>
      </c>
      <c r="R7" s="131" t="s">
        <v>34</v>
      </c>
      <c r="S7" s="131" t="s">
        <v>35</v>
      </c>
      <c r="T7" s="131" t="s">
        <v>36</v>
      </c>
      <c r="U7" s="96"/>
      <c r="V7" s="22"/>
    </row>
    <row r="8" spans="1:22" ht="49.5" customHeight="1">
      <c r="A8" s="135"/>
      <c r="B8" s="133"/>
      <c r="C8" s="81" t="s">
        <v>101</v>
      </c>
      <c r="D8" s="81" t="s">
        <v>1</v>
      </c>
      <c r="E8" s="81" t="s">
        <v>2</v>
      </c>
      <c r="F8" s="81" t="s">
        <v>3</v>
      </c>
      <c r="G8" s="81" t="s">
        <v>4</v>
      </c>
      <c r="H8" s="128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96"/>
      <c r="V8" s="22"/>
    </row>
    <row r="9" spans="1:22" ht="40.5" customHeight="1">
      <c r="A9" s="56" t="s">
        <v>87</v>
      </c>
      <c r="B9" s="48" t="s">
        <v>155</v>
      </c>
      <c r="C9" s="23" t="s">
        <v>8</v>
      </c>
      <c r="D9" s="23">
        <v>8010000190</v>
      </c>
      <c r="E9" s="23">
        <v>121</v>
      </c>
      <c r="F9" s="23">
        <v>211</v>
      </c>
      <c r="G9" s="23"/>
      <c r="H9" s="24">
        <v>1046467</v>
      </c>
      <c r="I9" s="14">
        <v>37495.26</v>
      </c>
      <c r="J9" s="14">
        <v>84387.69</v>
      </c>
      <c r="K9" s="14">
        <v>82677.75</v>
      </c>
      <c r="L9" s="14">
        <v>82677.75</v>
      </c>
      <c r="M9" s="14">
        <v>82677.75</v>
      </c>
      <c r="N9" s="14">
        <v>82677.75</v>
      </c>
      <c r="O9" s="14">
        <v>82677.75</v>
      </c>
      <c r="P9" s="14">
        <v>82677.75</v>
      </c>
      <c r="Q9" s="14">
        <v>82360.75</v>
      </c>
      <c r="R9" s="14">
        <v>84435.73</v>
      </c>
      <c r="S9" s="14">
        <v>85845.2</v>
      </c>
      <c r="T9" s="14">
        <f>175884.87-9</f>
        <v>175875.87</v>
      </c>
      <c r="U9" s="100"/>
      <c r="V9" s="15">
        <f>SUM(I9:T9)</f>
        <v>1046466.9999999999</v>
      </c>
    </row>
    <row r="10" spans="1:22" ht="89.25">
      <c r="A10" s="56" t="s">
        <v>87</v>
      </c>
      <c r="B10" s="48" t="s">
        <v>156</v>
      </c>
      <c r="C10" s="23" t="s">
        <v>8</v>
      </c>
      <c r="D10" s="23">
        <v>8010000190</v>
      </c>
      <c r="E10" s="23">
        <v>129</v>
      </c>
      <c r="F10" s="23">
        <v>213</v>
      </c>
      <c r="G10" s="23"/>
      <c r="H10" s="24">
        <v>316033</v>
      </c>
      <c r="I10" s="14">
        <v>0</v>
      </c>
      <c r="J10" s="14">
        <v>25059.08</v>
      </c>
      <c r="K10" s="14">
        <v>25059.07</v>
      </c>
      <c r="L10" s="14">
        <v>25059.07</v>
      </c>
      <c r="M10" s="14">
        <v>25059.07</v>
      </c>
      <c r="N10" s="14">
        <v>25059.07</v>
      </c>
      <c r="O10" s="14">
        <v>25059.07</v>
      </c>
      <c r="P10" s="14">
        <v>25059.07</v>
      </c>
      <c r="Q10" s="14">
        <v>25059.07</v>
      </c>
      <c r="R10" s="14">
        <v>25059.07</v>
      </c>
      <c r="S10" s="14">
        <v>26015.63</v>
      </c>
      <c r="T10" s="14">
        <v>64485.73</v>
      </c>
      <c r="U10" s="100"/>
      <c r="V10" s="15">
        <f>SUM(I10:T10)</f>
        <v>316033.00000000006</v>
      </c>
    </row>
    <row r="11" spans="1:22" ht="12.75">
      <c r="A11" s="56"/>
      <c r="B11" s="23"/>
      <c r="C11" s="23"/>
      <c r="D11" s="23"/>
      <c r="E11" s="23"/>
      <c r="F11" s="23"/>
      <c r="G11" s="23"/>
      <c r="H11" s="2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07"/>
      <c r="V11" s="15"/>
    </row>
    <row r="12" spans="1:22" ht="12.75">
      <c r="A12" s="56"/>
      <c r="B12" s="25" t="s">
        <v>45</v>
      </c>
      <c r="C12" s="25" t="s">
        <v>8</v>
      </c>
      <c r="D12" s="26"/>
      <c r="E12" s="26"/>
      <c r="F12" s="26"/>
      <c r="G12" s="25"/>
      <c r="H12" s="30">
        <f aca="true" t="shared" si="0" ref="H12:T12">H9+H10</f>
        <v>1362500</v>
      </c>
      <c r="I12" s="30">
        <f t="shared" si="0"/>
        <v>37495.26</v>
      </c>
      <c r="J12" s="30">
        <f t="shared" si="0"/>
        <v>109446.77</v>
      </c>
      <c r="K12" s="30">
        <f t="shared" si="0"/>
        <v>107736.82</v>
      </c>
      <c r="L12" s="30">
        <f t="shared" si="0"/>
        <v>107736.82</v>
      </c>
      <c r="M12" s="30">
        <f t="shared" si="0"/>
        <v>107736.82</v>
      </c>
      <c r="N12" s="30">
        <f t="shared" si="0"/>
        <v>107736.82</v>
      </c>
      <c r="O12" s="30">
        <f t="shared" si="0"/>
        <v>107736.82</v>
      </c>
      <c r="P12" s="30">
        <f t="shared" si="0"/>
        <v>107736.82</v>
      </c>
      <c r="Q12" s="30">
        <f t="shared" si="0"/>
        <v>107419.82</v>
      </c>
      <c r="R12" s="30">
        <f t="shared" si="0"/>
        <v>109494.79999999999</v>
      </c>
      <c r="S12" s="30">
        <f t="shared" si="0"/>
        <v>111860.83</v>
      </c>
      <c r="T12" s="30">
        <f t="shared" si="0"/>
        <v>240361.6</v>
      </c>
      <c r="U12" s="97"/>
      <c r="V12" s="97">
        <f>I12+J12+K12+L12+M12+N12+O12+P12+Q12+R12+S12+T12</f>
        <v>1362500.0000000005</v>
      </c>
    </row>
    <row r="13" spans="1:22" ht="12.75">
      <c r="A13" s="56"/>
      <c r="B13" s="25"/>
      <c r="C13" s="11"/>
      <c r="D13" s="26"/>
      <c r="E13" s="26"/>
      <c r="F13" s="26"/>
      <c r="G13" s="25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97"/>
      <c r="V13" s="97"/>
    </row>
    <row r="14" spans="1:22" ht="93.75" customHeight="1">
      <c r="A14" s="62" t="s">
        <v>87</v>
      </c>
      <c r="B14" s="27" t="s">
        <v>104</v>
      </c>
      <c r="C14" s="37" t="s">
        <v>9</v>
      </c>
      <c r="D14" s="37">
        <v>5100000000</v>
      </c>
      <c r="E14" s="36"/>
      <c r="F14" s="36"/>
      <c r="G14" s="37"/>
      <c r="H14" s="13">
        <f aca="true" t="shared" si="1" ref="H14:T14">H15+H16+H17+H18+H19+H20+H21+H22+H24+H25+H23+H26+H27+H29+H28</f>
        <v>7670700</v>
      </c>
      <c r="I14" s="13">
        <f t="shared" si="1"/>
        <v>230280.98</v>
      </c>
      <c r="J14" s="13">
        <f t="shared" si="1"/>
        <v>590462.01</v>
      </c>
      <c r="K14" s="13">
        <f t="shared" si="1"/>
        <v>646976.71</v>
      </c>
      <c r="L14" s="13">
        <f t="shared" si="1"/>
        <v>616743.39</v>
      </c>
      <c r="M14" s="13">
        <f t="shared" si="1"/>
        <v>567034.44</v>
      </c>
      <c r="N14" s="13">
        <f t="shared" si="1"/>
        <v>600101.21</v>
      </c>
      <c r="O14" s="13">
        <f t="shared" si="1"/>
        <v>612821.13</v>
      </c>
      <c r="P14" s="13">
        <f t="shared" si="1"/>
        <v>523387.45</v>
      </c>
      <c r="Q14" s="13">
        <f t="shared" si="1"/>
        <v>560787.51</v>
      </c>
      <c r="R14" s="13">
        <f t="shared" si="1"/>
        <v>769610.69</v>
      </c>
      <c r="S14" s="13">
        <f t="shared" si="1"/>
        <v>655255.46</v>
      </c>
      <c r="T14" s="13">
        <f t="shared" si="1"/>
        <v>1297239.02</v>
      </c>
      <c r="U14" s="101"/>
      <c r="V14" s="88">
        <f>V15+V16+V23+V26+V27+V29+V28</f>
        <v>7670700</v>
      </c>
    </row>
    <row r="15" spans="1:22" ht="38.25">
      <c r="A15" s="56" t="s">
        <v>87</v>
      </c>
      <c r="B15" s="48" t="s">
        <v>155</v>
      </c>
      <c r="C15" s="23" t="s">
        <v>9</v>
      </c>
      <c r="D15" s="78" t="s">
        <v>141</v>
      </c>
      <c r="E15" s="23">
        <v>121</v>
      </c>
      <c r="F15" s="23">
        <v>211</v>
      </c>
      <c r="G15" s="23"/>
      <c r="H15" s="24">
        <v>5057530</v>
      </c>
      <c r="I15" s="14">
        <v>215261.98</v>
      </c>
      <c r="J15" s="14">
        <v>367447.38</v>
      </c>
      <c r="K15" s="14">
        <v>484620.17</v>
      </c>
      <c r="L15" s="14">
        <v>378618.34</v>
      </c>
      <c r="M15" s="14">
        <v>394596.91</v>
      </c>
      <c r="N15" s="14">
        <v>394596.91</v>
      </c>
      <c r="O15" s="14">
        <v>412026</v>
      </c>
      <c r="P15" s="14">
        <v>366080.88</v>
      </c>
      <c r="Q15" s="14">
        <v>399894.85</v>
      </c>
      <c r="R15" s="14">
        <f>377800+22721.78+11550.82+25716.95+98437.44</f>
        <v>536226.99</v>
      </c>
      <c r="S15" s="14">
        <v>391735.97</v>
      </c>
      <c r="T15" s="14">
        <v>716423.62</v>
      </c>
      <c r="U15" s="100"/>
      <c r="V15" s="15">
        <f aca="true" t="shared" si="2" ref="V15:V30">SUM(I15:T15)</f>
        <v>5057530</v>
      </c>
    </row>
    <row r="16" spans="1:22" ht="89.25">
      <c r="A16" s="56" t="s">
        <v>87</v>
      </c>
      <c r="B16" s="48" t="s">
        <v>156</v>
      </c>
      <c r="C16" s="23" t="s">
        <v>9</v>
      </c>
      <c r="D16" s="78" t="s">
        <v>141</v>
      </c>
      <c r="E16" s="23">
        <v>129</v>
      </c>
      <c r="F16" s="23">
        <v>213</v>
      </c>
      <c r="G16" s="23"/>
      <c r="H16" s="24">
        <v>1527370</v>
      </c>
      <c r="I16" s="14">
        <v>0</v>
      </c>
      <c r="J16" s="14">
        <v>117942.63</v>
      </c>
      <c r="K16" s="14">
        <v>100499.54</v>
      </c>
      <c r="L16" s="14">
        <v>138908.05</v>
      </c>
      <c r="M16" s="14">
        <v>126393.53</v>
      </c>
      <c r="N16" s="14">
        <v>127635.3</v>
      </c>
      <c r="O16" s="14">
        <v>109894.13</v>
      </c>
      <c r="P16" s="14">
        <v>116145.57</v>
      </c>
      <c r="Q16" s="14">
        <v>115389.66</v>
      </c>
      <c r="R16" s="14">
        <v>113948.7</v>
      </c>
      <c r="S16" s="14">
        <v>187572.49</v>
      </c>
      <c r="T16" s="14">
        <v>273040.4</v>
      </c>
      <c r="U16" s="100"/>
      <c r="V16" s="15">
        <f t="shared" si="2"/>
        <v>1527370</v>
      </c>
    </row>
    <row r="17" spans="1:22" ht="12.75" hidden="1">
      <c r="A17" s="56" t="s">
        <v>87</v>
      </c>
      <c r="B17" s="23" t="s">
        <v>10</v>
      </c>
      <c r="C17" s="28" t="s">
        <v>9</v>
      </c>
      <c r="D17" s="28">
        <v>5110100190</v>
      </c>
      <c r="E17" s="28">
        <v>244</v>
      </c>
      <c r="F17" s="28">
        <v>221</v>
      </c>
      <c r="G17" s="23"/>
      <c r="H17" s="2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00"/>
      <c r="V17" s="15">
        <f t="shared" si="2"/>
        <v>0</v>
      </c>
    </row>
    <row r="18" spans="1:22" ht="12.75" hidden="1">
      <c r="A18" s="56" t="s">
        <v>87</v>
      </c>
      <c r="B18" s="23" t="s">
        <v>11</v>
      </c>
      <c r="C18" s="28" t="s">
        <v>9</v>
      </c>
      <c r="D18" s="28">
        <v>5110100190</v>
      </c>
      <c r="E18" s="28">
        <v>244</v>
      </c>
      <c r="F18" s="28">
        <v>223</v>
      </c>
      <c r="G18" s="23" t="s">
        <v>38</v>
      </c>
      <c r="H18" s="2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00"/>
      <c r="V18" s="15">
        <f t="shared" si="2"/>
        <v>0</v>
      </c>
    </row>
    <row r="19" spans="1:22" ht="12.75" hidden="1">
      <c r="A19" s="56" t="s">
        <v>87</v>
      </c>
      <c r="B19" s="23" t="s">
        <v>11</v>
      </c>
      <c r="C19" s="28" t="s">
        <v>9</v>
      </c>
      <c r="D19" s="28">
        <v>5110100190</v>
      </c>
      <c r="E19" s="28">
        <v>244</v>
      </c>
      <c r="F19" s="28">
        <v>223</v>
      </c>
      <c r="G19" s="59" t="s">
        <v>39</v>
      </c>
      <c r="H19" s="2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00"/>
      <c r="V19" s="15">
        <f t="shared" si="2"/>
        <v>0</v>
      </c>
    </row>
    <row r="20" spans="1:22" ht="12.75" hidden="1">
      <c r="A20" s="56" t="s">
        <v>87</v>
      </c>
      <c r="B20" s="23" t="s">
        <v>11</v>
      </c>
      <c r="C20" s="28" t="s">
        <v>9</v>
      </c>
      <c r="D20" s="28">
        <v>5110100190</v>
      </c>
      <c r="E20" s="28">
        <v>244</v>
      </c>
      <c r="F20" s="28">
        <v>223</v>
      </c>
      <c r="G20" s="23" t="s">
        <v>40</v>
      </c>
      <c r="H20" s="2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00"/>
      <c r="V20" s="15">
        <f t="shared" si="2"/>
        <v>0</v>
      </c>
    </row>
    <row r="21" spans="1:22" ht="12.75" hidden="1">
      <c r="A21" s="56" t="s">
        <v>87</v>
      </c>
      <c r="B21" s="23" t="s">
        <v>12</v>
      </c>
      <c r="C21" s="28" t="s">
        <v>9</v>
      </c>
      <c r="D21" s="28">
        <v>5110100190</v>
      </c>
      <c r="E21" s="28">
        <v>244</v>
      </c>
      <c r="F21" s="28">
        <v>225</v>
      </c>
      <c r="G21" s="23"/>
      <c r="H21" s="2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00"/>
      <c r="V21" s="15">
        <f t="shared" si="2"/>
        <v>0</v>
      </c>
    </row>
    <row r="22" spans="1:22" ht="12.75" hidden="1">
      <c r="A22" s="56" t="s">
        <v>87</v>
      </c>
      <c r="B22" s="23" t="s">
        <v>14</v>
      </c>
      <c r="C22" s="28" t="s">
        <v>9</v>
      </c>
      <c r="D22" s="28">
        <v>5110100190</v>
      </c>
      <c r="E22" s="28">
        <v>851</v>
      </c>
      <c r="F22" s="28">
        <v>290</v>
      </c>
      <c r="G22" s="23" t="s">
        <v>50</v>
      </c>
      <c r="H22" s="2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00"/>
      <c r="V22" s="15">
        <f t="shared" si="2"/>
        <v>0</v>
      </c>
    </row>
    <row r="23" spans="1:22" ht="25.5">
      <c r="A23" s="56" t="s">
        <v>87</v>
      </c>
      <c r="B23" s="48" t="s">
        <v>157</v>
      </c>
      <c r="C23" s="23" t="s">
        <v>9</v>
      </c>
      <c r="D23" s="78" t="s">
        <v>141</v>
      </c>
      <c r="E23" s="23">
        <v>244</v>
      </c>
      <c r="F23" s="23">
        <v>226</v>
      </c>
      <c r="G23" s="23"/>
      <c r="H23" s="24">
        <v>793800</v>
      </c>
      <c r="I23" s="14">
        <v>0</v>
      </c>
      <c r="J23" s="14">
        <v>41892</v>
      </c>
      <c r="K23" s="14">
        <v>34437</v>
      </c>
      <c r="L23" s="14">
        <v>75437</v>
      </c>
      <c r="M23" s="14">
        <v>34437</v>
      </c>
      <c r="N23" s="14">
        <v>54089</v>
      </c>
      <c r="O23" s="14">
        <v>67121</v>
      </c>
      <c r="P23" s="14">
        <v>34437</v>
      </c>
      <c r="Q23" s="14">
        <v>34437</v>
      </c>
      <c r="R23" s="14">
        <v>78599</v>
      </c>
      <c r="S23" s="14">
        <v>67280</v>
      </c>
      <c r="T23" s="14">
        <v>271634</v>
      </c>
      <c r="U23" s="100"/>
      <c r="V23" s="15">
        <f t="shared" si="2"/>
        <v>793800</v>
      </c>
    </row>
    <row r="24" spans="1:22" ht="12.75" hidden="1">
      <c r="A24" s="56" t="s">
        <v>87</v>
      </c>
      <c r="B24" s="23" t="s">
        <v>15</v>
      </c>
      <c r="C24" s="28" t="s">
        <v>9</v>
      </c>
      <c r="D24" s="78" t="s">
        <v>141</v>
      </c>
      <c r="E24" s="28">
        <v>244</v>
      </c>
      <c r="F24" s="28">
        <v>340</v>
      </c>
      <c r="G24" s="23"/>
      <c r="H24" s="2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00"/>
      <c r="V24" s="15">
        <f t="shared" si="2"/>
        <v>0</v>
      </c>
    </row>
    <row r="25" spans="1:22" ht="12.75" hidden="1">
      <c r="A25" s="56" t="s">
        <v>87</v>
      </c>
      <c r="B25" s="23" t="s">
        <v>15</v>
      </c>
      <c r="C25" s="28" t="s">
        <v>9</v>
      </c>
      <c r="D25" s="28">
        <v>5110100190</v>
      </c>
      <c r="E25" s="28">
        <v>244</v>
      </c>
      <c r="F25" s="28">
        <v>340</v>
      </c>
      <c r="G25" s="23" t="s">
        <v>41</v>
      </c>
      <c r="H25" s="2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00"/>
      <c r="V25" s="15">
        <f t="shared" si="2"/>
        <v>0</v>
      </c>
    </row>
    <row r="26" spans="1:22" ht="43.5" customHeight="1">
      <c r="A26" s="56" t="s">
        <v>87</v>
      </c>
      <c r="B26" s="48" t="s">
        <v>158</v>
      </c>
      <c r="C26" s="23" t="s">
        <v>9</v>
      </c>
      <c r="D26" s="78" t="s">
        <v>141</v>
      </c>
      <c r="E26" s="23">
        <v>244</v>
      </c>
      <c r="F26" s="23">
        <v>340</v>
      </c>
      <c r="G26" s="48" t="s">
        <v>79</v>
      </c>
      <c r="H26" s="24">
        <f>241500+5400</f>
        <v>246900</v>
      </c>
      <c r="I26" s="14">
        <f>15018.61+0.39</f>
        <v>15019</v>
      </c>
      <c r="J26" s="14">
        <v>23780</v>
      </c>
      <c r="K26" s="14">
        <f>23780+3640</f>
        <v>27420</v>
      </c>
      <c r="L26" s="14">
        <v>23780</v>
      </c>
      <c r="M26" s="14">
        <f>23780-12173</f>
        <v>11607</v>
      </c>
      <c r="N26" s="14">
        <v>23780</v>
      </c>
      <c r="O26" s="14">
        <v>23780</v>
      </c>
      <c r="P26" s="14">
        <f>23780-17056.8+0.8</f>
        <v>6724.000000000001</v>
      </c>
      <c r="Q26" s="14">
        <f>23780-12713.95-0.05</f>
        <v>11066</v>
      </c>
      <c r="R26" s="14">
        <f>23780+17056.8-0.8</f>
        <v>40836</v>
      </c>
      <c r="S26" s="14">
        <f>23780+12173+12713.95-40000+0.05</f>
        <v>8666.999999999996</v>
      </c>
      <c r="T26" s="14">
        <f>30441.39-0.39</f>
        <v>30441</v>
      </c>
      <c r="U26" s="100"/>
      <c r="V26" s="15">
        <f t="shared" si="2"/>
        <v>246900</v>
      </c>
    </row>
    <row r="27" spans="1:22" ht="30" customHeight="1">
      <c r="A27" s="56" t="s">
        <v>87</v>
      </c>
      <c r="B27" s="48" t="s">
        <v>159</v>
      </c>
      <c r="C27" s="23" t="s">
        <v>9</v>
      </c>
      <c r="D27" s="78" t="s">
        <v>141</v>
      </c>
      <c r="E27" s="23">
        <v>851</v>
      </c>
      <c r="F27" s="23">
        <v>290</v>
      </c>
      <c r="G27" s="48" t="s">
        <v>50</v>
      </c>
      <c r="H27" s="24">
        <v>1000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1000</v>
      </c>
      <c r="U27" s="100"/>
      <c r="V27" s="15">
        <f t="shared" si="2"/>
        <v>1000</v>
      </c>
    </row>
    <row r="28" spans="1:22" ht="18" customHeight="1">
      <c r="A28" s="56" t="s">
        <v>87</v>
      </c>
      <c r="B28" s="48" t="s">
        <v>197</v>
      </c>
      <c r="C28" s="23" t="s">
        <v>9</v>
      </c>
      <c r="D28" s="78" t="s">
        <v>141</v>
      </c>
      <c r="E28" s="23">
        <v>852</v>
      </c>
      <c r="F28" s="23">
        <v>290</v>
      </c>
      <c r="G28" s="48" t="s">
        <v>50</v>
      </c>
      <c r="H28" s="24">
        <v>24400</v>
      </c>
      <c r="I28" s="14">
        <v>0</v>
      </c>
      <c r="J28" s="14">
        <v>24400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00"/>
      <c r="V28" s="15">
        <f t="shared" si="2"/>
        <v>24400</v>
      </c>
    </row>
    <row r="29" spans="1:22" ht="23.25" customHeight="1">
      <c r="A29" s="56" t="s">
        <v>87</v>
      </c>
      <c r="B29" s="48" t="s">
        <v>160</v>
      </c>
      <c r="C29" s="23" t="s">
        <v>9</v>
      </c>
      <c r="D29" s="78" t="s">
        <v>141</v>
      </c>
      <c r="E29" s="23">
        <v>853</v>
      </c>
      <c r="F29" s="23">
        <v>290</v>
      </c>
      <c r="G29" s="48" t="s">
        <v>50</v>
      </c>
      <c r="H29" s="24">
        <v>19700</v>
      </c>
      <c r="I29" s="14">
        <v>0</v>
      </c>
      <c r="J29" s="14">
        <v>15000</v>
      </c>
      <c r="K29" s="14">
        <v>0</v>
      </c>
      <c r="L29" s="29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4700</v>
      </c>
      <c r="U29" s="100"/>
      <c r="V29" s="15">
        <f t="shared" si="2"/>
        <v>19700</v>
      </c>
    </row>
    <row r="30" spans="1:22" ht="54.75" customHeight="1">
      <c r="A30" s="62" t="s">
        <v>87</v>
      </c>
      <c r="B30" s="90" t="s">
        <v>161</v>
      </c>
      <c r="C30" s="37" t="s">
        <v>9</v>
      </c>
      <c r="D30" s="84" t="s">
        <v>150</v>
      </c>
      <c r="E30" s="37">
        <v>244</v>
      </c>
      <c r="F30" s="37">
        <v>340</v>
      </c>
      <c r="G30" s="37"/>
      <c r="H30" s="13">
        <v>7600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7600</v>
      </c>
      <c r="R30" s="13">
        <v>0</v>
      </c>
      <c r="S30" s="13">
        <v>0</v>
      </c>
      <c r="T30" s="13">
        <v>0</v>
      </c>
      <c r="U30" s="101"/>
      <c r="V30" s="87">
        <f t="shared" si="2"/>
        <v>7600</v>
      </c>
    </row>
    <row r="31" spans="1:22" ht="12.75" hidden="1">
      <c r="A31" s="56"/>
      <c r="B31" s="11"/>
      <c r="C31" s="23"/>
      <c r="D31" s="78"/>
      <c r="E31" s="23"/>
      <c r="F31" s="23"/>
      <c r="G31" s="2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07"/>
      <c r="V31" s="77"/>
    </row>
    <row r="32" spans="1:22" s="114" customFormat="1" ht="12.75" hidden="1">
      <c r="A32" s="62" t="s">
        <v>87</v>
      </c>
      <c r="B32" s="122" t="s">
        <v>206</v>
      </c>
      <c r="C32" s="36" t="s">
        <v>9</v>
      </c>
      <c r="D32" s="118" t="s">
        <v>199</v>
      </c>
      <c r="E32" s="36">
        <v>853</v>
      </c>
      <c r="F32" s="36">
        <v>290</v>
      </c>
      <c r="G32" s="36"/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20"/>
      <c r="V32" s="121">
        <f>SUM(I32:T32)</f>
        <v>0</v>
      </c>
    </row>
    <row r="33" spans="1:22" ht="12.75">
      <c r="A33" s="56"/>
      <c r="B33" s="11"/>
      <c r="C33" s="23"/>
      <c r="D33" s="78"/>
      <c r="E33" s="23"/>
      <c r="F33" s="23"/>
      <c r="G33" s="2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07"/>
      <c r="V33" s="106"/>
    </row>
    <row r="34" spans="1:22" ht="12.75">
      <c r="A34" s="56"/>
      <c r="B34" s="25" t="s">
        <v>45</v>
      </c>
      <c r="C34" s="25" t="s">
        <v>9</v>
      </c>
      <c r="D34" s="23"/>
      <c r="E34" s="23"/>
      <c r="F34" s="23"/>
      <c r="G34" s="23"/>
      <c r="H34" s="30">
        <f aca="true" t="shared" si="3" ref="H34:T34">H14+H30+H32</f>
        <v>7678300</v>
      </c>
      <c r="I34" s="30">
        <f t="shared" si="3"/>
        <v>230280.98</v>
      </c>
      <c r="J34" s="30">
        <f t="shared" si="3"/>
        <v>590462.01</v>
      </c>
      <c r="K34" s="30">
        <f t="shared" si="3"/>
        <v>646976.71</v>
      </c>
      <c r="L34" s="30">
        <f t="shared" si="3"/>
        <v>616743.39</v>
      </c>
      <c r="M34" s="30">
        <f t="shared" si="3"/>
        <v>567034.44</v>
      </c>
      <c r="N34" s="30">
        <f t="shared" si="3"/>
        <v>600101.21</v>
      </c>
      <c r="O34" s="30">
        <f t="shared" si="3"/>
        <v>612821.13</v>
      </c>
      <c r="P34" s="30">
        <f t="shared" si="3"/>
        <v>523387.45</v>
      </c>
      <c r="Q34" s="30">
        <f t="shared" si="3"/>
        <v>568387.51</v>
      </c>
      <c r="R34" s="30">
        <f t="shared" si="3"/>
        <v>769610.69</v>
      </c>
      <c r="S34" s="30">
        <f t="shared" si="3"/>
        <v>655255.46</v>
      </c>
      <c r="T34" s="30">
        <f t="shared" si="3"/>
        <v>1297239.02</v>
      </c>
      <c r="U34" s="97"/>
      <c r="V34" s="97">
        <f>V14+V30+V32</f>
        <v>7678300</v>
      </c>
    </row>
    <row r="35" spans="1:22" ht="12.75">
      <c r="A35" s="56"/>
      <c r="B35" s="25"/>
      <c r="C35" s="26"/>
      <c r="D35" s="28"/>
      <c r="E35" s="28"/>
      <c r="F35" s="28"/>
      <c r="G35" s="2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102"/>
      <c r="V35" s="15"/>
    </row>
    <row r="36" spans="1:23" s="7" customFormat="1" ht="76.5">
      <c r="A36" s="62" t="s">
        <v>87</v>
      </c>
      <c r="B36" s="90" t="s">
        <v>162</v>
      </c>
      <c r="C36" s="37" t="s">
        <v>46</v>
      </c>
      <c r="D36" s="84" t="s">
        <v>151</v>
      </c>
      <c r="E36" s="37">
        <v>540</v>
      </c>
      <c r="F36" s="37">
        <v>251</v>
      </c>
      <c r="G36" s="11" t="s">
        <v>47</v>
      </c>
      <c r="H36" s="13">
        <v>183700</v>
      </c>
      <c r="I36" s="13">
        <v>78750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104950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01"/>
      <c r="V36" s="77">
        <f>SUM(I36:T36)</f>
        <v>183700</v>
      </c>
      <c r="W36" s="85"/>
    </row>
    <row r="37" spans="1:23" s="7" customFormat="1" ht="76.5">
      <c r="A37" s="62" t="s">
        <v>87</v>
      </c>
      <c r="B37" s="90" t="s">
        <v>163</v>
      </c>
      <c r="C37" s="37" t="s">
        <v>46</v>
      </c>
      <c r="D37" s="84" t="s">
        <v>152</v>
      </c>
      <c r="E37" s="37">
        <v>540</v>
      </c>
      <c r="F37" s="37">
        <v>251</v>
      </c>
      <c r="G37" s="11" t="s">
        <v>47</v>
      </c>
      <c r="H37" s="13">
        <v>170900</v>
      </c>
      <c r="I37" s="13">
        <v>0</v>
      </c>
      <c r="J37" s="112">
        <v>71575</v>
      </c>
      <c r="K37" s="13">
        <v>0</v>
      </c>
      <c r="L37" s="13">
        <v>13075</v>
      </c>
      <c r="M37" s="13">
        <v>0</v>
      </c>
      <c r="N37" s="13">
        <v>0</v>
      </c>
      <c r="O37" s="13">
        <v>82875</v>
      </c>
      <c r="P37" s="13">
        <v>0</v>
      </c>
      <c r="Q37" s="13">
        <v>0</v>
      </c>
      <c r="R37" s="13">
        <v>3375</v>
      </c>
      <c r="S37" s="13">
        <v>0</v>
      </c>
      <c r="T37" s="13">
        <v>0</v>
      </c>
      <c r="U37" s="101"/>
      <c r="V37" s="77">
        <f>SUM(I37:T37)</f>
        <v>170900</v>
      </c>
      <c r="W37" s="85"/>
    </row>
    <row r="38" spans="1:23" s="7" customFormat="1" ht="12.75">
      <c r="A38" s="65"/>
      <c r="B38" s="89"/>
      <c r="C38" s="11"/>
      <c r="D38" s="79"/>
      <c r="E38" s="11"/>
      <c r="F38" s="11"/>
      <c r="G38" s="11"/>
      <c r="H38" s="34"/>
      <c r="I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101"/>
      <c r="V38" s="77"/>
      <c r="W38" s="85"/>
    </row>
    <row r="39" spans="1:23" ht="12.75">
      <c r="A39" s="56"/>
      <c r="B39" s="25" t="s">
        <v>45</v>
      </c>
      <c r="C39" s="25" t="s">
        <v>46</v>
      </c>
      <c r="D39" s="23"/>
      <c r="E39" s="23"/>
      <c r="F39" s="23"/>
      <c r="G39" s="23"/>
      <c r="H39" s="30">
        <f aca="true" t="shared" si="4" ref="H39:T39">H37+H36</f>
        <v>354600</v>
      </c>
      <c r="I39" s="30">
        <f t="shared" si="4"/>
        <v>78750</v>
      </c>
      <c r="J39" s="30">
        <f t="shared" si="4"/>
        <v>71575</v>
      </c>
      <c r="K39" s="30">
        <f t="shared" si="4"/>
        <v>0</v>
      </c>
      <c r="L39" s="30">
        <f t="shared" si="4"/>
        <v>13075</v>
      </c>
      <c r="M39" s="30">
        <f t="shared" si="4"/>
        <v>0</v>
      </c>
      <c r="N39" s="30">
        <f t="shared" si="4"/>
        <v>0</v>
      </c>
      <c r="O39" s="30">
        <f t="shared" si="4"/>
        <v>187825</v>
      </c>
      <c r="P39" s="30">
        <f t="shared" si="4"/>
        <v>0</v>
      </c>
      <c r="Q39" s="30">
        <f t="shared" si="4"/>
        <v>0</v>
      </c>
      <c r="R39" s="30">
        <f t="shared" si="4"/>
        <v>3375</v>
      </c>
      <c r="S39" s="30">
        <f t="shared" si="4"/>
        <v>0</v>
      </c>
      <c r="T39" s="30">
        <f t="shared" si="4"/>
        <v>0</v>
      </c>
      <c r="U39" s="102"/>
      <c r="V39" s="86">
        <f>SUM(I39:T39)</f>
        <v>354600</v>
      </c>
      <c r="W39" s="3"/>
    </row>
    <row r="40" spans="1:23" ht="12.75">
      <c r="A40" s="56"/>
      <c r="B40" s="25"/>
      <c r="C40" s="25"/>
      <c r="D40" s="23"/>
      <c r="E40" s="23"/>
      <c r="F40" s="23"/>
      <c r="G40" s="2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102"/>
      <c r="V40" s="32"/>
      <c r="W40" s="3"/>
    </row>
    <row r="41" spans="1:23" s="7" customFormat="1" ht="25.5">
      <c r="A41" s="62" t="s">
        <v>87</v>
      </c>
      <c r="B41" s="90" t="s">
        <v>164</v>
      </c>
      <c r="C41" s="37" t="s">
        <v>48</v>
      </c>
      <c r="D41" s="84" t="s">
        <v>153</v>
      </c>
      <c r="E41" s="37">
        <v>870</v>
      </c>
      <c r="F41" s="37">
        <v>290</v>
      </c>
      <c r="G41" s="11"/>
      <c r="H41" s="13">
        <v>20000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20000</v>
      </c>
      <c r="U41" s="101"/>
      <c r="V41" s="77">
        <f>SUM(I41:T41)</f>
        <v>20000</v>
      </c>
      <c r="W41" s="85"/>
    </row>
    <row r="42" spans="1:22" s="7" customFormat="1" ht="12.75">
      <c r="A42" s="65"/>
      <c r="B42" s="11"/>
      <c r="C42" s="11"/>
      <c r="D42" s="80"/>
      <c r="E42" s="11"/>
      <c r="F42" s="11"/>
      <c r="G42" s="1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101"/>
      <c r="V42" s="77"/>
    </row>
    <row r="43" spans="1:22" ht="12.75">
      <c r="A43" s="56"/>
      <c r="B43" s="25" t="s">
        <v>45</v>
      </c>
      <c r="C43" s="25" t="s">
        <v>17</v>
      </c>
      <c r="D43" s="11"/>
      <c r="E43" s="11"/>
      <c r="F43" s="11"/>
      <c r="G43" s="25"/>
      <c r="H43" s="30">
        <f aca="true" t="shared" si="5" ref="H43:T43">H41</f>
        <v>20000</v>
      </c>
      <c r="I43" s="30">
        <f t="shared" si="5"/>
        <v>0</v>
      </c>
      <c r="J43" s="30">
        <f t="shared" si="5"/>
        <v>0</v>
      </c>
      <c r="K43" s="30">
        <f t="shared" si="5"/>
        <v>0</v>
      </c>
      <c r="L43" s="30">
        <f t="shared" si="5"/>
        <v>0</v>
      </c>
      <c r="M43" s="30">
        <f t="shared" si="5"/>
        <v>0</v>
      </c>
      <c r="N43" s="30">
        <f t="shared" si="5"/>
        <v>0</v>
      </c>
      <c r="O43" s="30">
        <f t="shared" si="5"/>
        <v>0</v>
      </c>
      <c r="P43" s="30">
        <f t="shared" si="5"/>
        <v>0</v>
      </c>
      <c r="Q43" s="30">
        <f t="shared" si="5"/>
        <v>0</v>
      </c>
      <c r="R43" s="30">
        <f t="shared" si="5"/>
        <v>0</v>
      </c>
      <c r="S43" s="30">
        <f t="shared" si="5"/>
        <v>0</v>
      </c>
      <c r="T43" s="30">
        <f t="shared" si="5"/>
        <v>20000</v>
      </c>
      <c r="U43" s="102"/>
      <c r="V43" s="47">
        <f>SUM(I43:T43)</f>
        <v>20000</v>
      </c>
    </row>
    <row r="44" spans="1:22" s="3" customFormat="1" ht="12.75">
      <c r="A44" s="60"/>
      <c r="B44" s="61"/>
      <c r="C44" s="31"/>
      <c r="D44" s="31"/>
      <c r="E44" s="31"/>
      <c r="F44" s="31"/>
      <c r="G44" s="6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102"/>
      <c r="V44" s="32"/>
    </row>
    <row r="45" spans="1:22" ht="12.75">
      <c r="A45" s="56"/>
      <c r="B45" s="25"/>
      <c r="C45" s="11"/>
      <c r="D45" s="11"/>
      <c r="E45" s="11"/>
      <c r="F45" s="11"/>
      <c r="G45" s="25"/>
      <c r="H45" s="33"/>
      <c r="I45" s="30"/>
      <c r="J45" s="30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101"/>
      <c r="V45" s="15"/>
    </row>
    <row r="46" spans="1:22" ht="76.5">
      <c r="A46" s="62" t="s">
        <v>87</v>
      </c>
      <c r="B46" s="90" t="s">
        <v>105</v>
      </c>
      <c r="C46" s="37" t="s">
        <v>6</v>
      </c>
      <c r="D46" s="84" t="s">
        <v>140</v>
      </c>
      <c r="E46" s="36"/>
      <c r="F46" s="36"/>
      <c r="G46" s="41"/>
      <c r="H46" s="13">
        <f aca="true" t="shared" si="6" ref="H46:T46">H48+H54+H66</f>
        <v>14198200</v>
      </c>
      <c r="I46" s="13">
        <f t="shared" si="6"/>
        <v>419567</v>
      </c>
      <c r="J46" s="13">
        <f t="shared" si="6"/>
        <v>1039359</v>
      </c>
      <c r="K46" s="13">
        <f t="shared" si="6"/>
        <v>1053306.72</v>
      </c>
      <c r="L46" s="13">
        <f t="shared" si="6"/>
        <v>1288204.7</v>
      </c>
      <c r="M46" s="13">
        <f t="shared" si="6"/>
        <v>1098486.37</v>
      </c>
      <c r="N46" s="13">
        <f t="shared" si="6"/>
        <v>1204021</v>
      </c>
      <c r="O46" s="13">
        <f t="shared" si="6"/>
        <v>1113333</v>
      </c>
      <c r="P46" s="13">
        <f t="shared" si="6"/>
        <v>1196680.77</v>
      </c>
      <c r="Q46" s="13">
        <f t="shared" si="6"/>
        <v>1103104.35</v>
      </c>
      <c r="R46" s="13">
        <f t="shared" si="6"/>
        <v>1295230.0899999999</v>
      </c>
      <c r="S46" s="13">
        <f t="shared" si="6"/>
        <v>1310527.6800000002</v>
      </c>
      <c r="T46" s="13">
        <f t="shared" si="6"/>
        <v>2076379.32</v>
      </c>
      <c r="U46" s="101"/>
      <c r="V46" s="87">
        <f>V48+V54+V66</f>
        <v>14198200</v>
      </c>
    </row>
    <row r="47" spans="1:22" ht="12.75">
      <c r="A47" s="60"/>
      <c r="B47" s="67"/>
      <c r="C47" s="12"/>
      <c r="D47" s="12"/>
      <c r="E47" s="12"/>
      <c r="F47" s="12"/>
      <c r="G47" s="1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00"/>
      <c r="V47" s="15"/>
    </row>
    <row r="48" spans="1:22" s="7" customFormat="1" ht="25.5">
      <c r="A48" s="62" t="s">
        <v>87</v>
      </c>
      <c r="B48" s="90" t="s">
        <v>49</v>
      </c>
      <c r="C48" s="37" t="s">
        <v>6</v>
      </c>
      <c r="D48" s="37">
        <v>5210000000</v>
      </c>
      <c r="E48" s="36"/>
      <c r="F48" s="36"/>
      <c r="G48" s="37"/>
      <c r="H48" s="13">
        <f aca="true" t="shared" si="7" ref="H48:T48">H49+H50+H51+H52</f>
        <v>4138200</v>
      </c>
      <c r="I48" s="13">
        <f t="shared" si="7"/>
        <v>121992</v>
      </c>
      <c r="J48" s="13">
        <f t="shared" si="7"/>
        <v>292967</v>
      </c>
      <c r="K48" s="13">
        <f t="shared" si="7"/>
        <v>324402</v>
      </c>
      <c r="L48" s="13">
        <f t="shared" si="7"/>
        <v>446944</v>
      </c>
      <c r="M48" s="13">
        <f t="shared" si="7"/>
        <v>315341</v>
      </c>
      <c r="N48" s="13">
        <f t="shared" si="7"/>
        <v>324081</v>
      </c>
      <c r="O48" s="13">
        <f t="shared" si="7"/>
        <v>312423</v>
      </c>
      <c r="P48" s="13">
        <f t="shared" si="7"/>
        <v>358840</v>
      </c>
      <c r="Q48" s="13">
        <f t="shared" si="7"/>
        <v>324046</v>
      </c>
      <c r="R48" s="13">
        <f t="shared" si="7"/>
        <v>443975</v>
      </c>
      <c r="S48" s="13">
        <f t="shared" si="7"/>
        <v>299822</v>
      </c>
      <c r="T48" s="13">
        <f t="shared" si="7"/>
        <v>573367</v>
      </c>
      <c r="U48" s="101"/>
      <c r="V48" s="87">
        <f>V49+V50+V51+V52</f>
        <v>4138200</v>
      </c>
    </row>
    <row r="49" spans="1:22" ht="25.5">
      <c r="A49" s="56" t="s">
        <v>87</v>
      </c>
      <c r="B49" s="109" t="s">
        <v>165</v>
      </c>
      <c r="C49" s="23" t="s">
        <v>6</v>
      </c>
      <c r="D49" s="23">
        <v>5210100590</v>
      </c>
      <c r="E49" s="23">
        <v>111</v>
      </c>
      <c r="F49" s="23">
        <v>211</v>
      </c>
      <c r="G49" s="23"/>
      <c r="H49" s="24">
        <v>2825577</v>
      </c>
      <c r="I49" s="14">
        <v>101400</v>
      </c>
      <c r="J49" s="14">
        <v>218095</v>
      </c>
      <c r="K49" s="14">
        <v>246332</v>
      </c>
      <c r="L49" s="14">
        <v>287704</v>
      </c>
      <c r="M49" s="14">
        <v>221360</v>
      </c>
      <c r="N49" s="14">
        <v>248778</v>
      </c>
      <c r="O49" s="14">
        <v>187019</v>
      </c>
      <c r="P49" s="14">
        <v>269483</v>
      </c>
      <c r="Q49" s="14">
        <v>178393</v>
      </c>
      <c r="R49" s="14">
        <v>326954</v>
      </c>
      <c r="S49" s="14">
        <v>204011</v>
      </c>
      <c r="T49" s="14">
        <v>336048</v>
      </c>
      <c r="U49" s="100"/>
      <c r="V49" s="15">
        <f>SUM(I49:T49)</f>
        <v>2825577</v>
      </c>
    </row>
    <row r="50" spans="1:22" ht="89.25">
      <c r="A50" s="56" t="s">
        <v>87</v>
      </c>
      <c r="B50" s="109" t="s">
        <v>166</v>
      </c>
      <c r="C50" s="23" t="s">
        <v>6</v>
      </c>
      <c r="D50" s="23">
        <v>5210100590</v>
      </c>
      <c r="E50" s="23">
        <v>119</v>
      </c>
      <c r="F50" s="10">
        <v>213</v>
      </c>
      <c r="G50" s="23"/>
      <c r="H50" s="24">
        <v>853323</v>
      </c>
      <c r="I50" s="14">
        <v>0</v>
      </c>
      <c r="J50" s="14">
        <v>65272</v>
      </c>
      <c r="K50" s="14">
        <v>64970</v>
      </c>
      <c r="L50" s="14">
        <v>70940</v>
      </c>
      <c r="M50" s="14">
        <v>84381</v>
      </c>
      <c r="N50" s="14">
        <v>65703</v>
      </c>
      <c r="O50" s="14">
        <v>72604</v>
      </c>
      <c r="P50" s="14">
        <v>70157</v>
      </c>
      <c r="Q50" s="14">
        <v>71663</v>
      </c>
      <c r="R50" s="14">
        <v>61871</v>
      </c>
      <c r="S50" s="14">
        <v>86211</v>
      </c>
      <c r="T50" s="14">
        <v>139551</v>
      </c>
      <c r="U50" s="100"/>
      <c r="V50" s="15">
        <f>SUM(I50:T50)</f>
        <v>853323</v>
      </c>
    </row>
    <row r="51" spans="1:22" ht="25.5">
      <c r="A51" s="56" t="s">
        <v>87</v>
      </c>
      <c r="B51" s="48" t="s">
        <v>157</v>
      </c>
      <c r="C51" s="23" t="s">
        <v>6</v>
      </c>
      <c r="D51" s="23">
        <v>5210100590</v>
      </c>
      <c r="E51" s="23">
        <v>244</v>
      </c>
      <c r="F51" s="23">
        <v>226</v>
      </c>
      <c r="G51" s="23"/>
      <c r="H51" s="24">
        <v>403300</v>
      </c>
      <c r="I51" s="14">
        <f>9600+10992</f>
        <v>20592</v>
      </c>
      <c r="J51" s="14">
        <f>9600+21900-10992-10908</f>
        <v>9600</v>
      </c>
      <c r="K51" s="14">
        <f>9600+3500</f>
        <v>13100</v>
      </c>
      <c r="L51" s="14">
        <v>73300</v>
      </c>
      <c r="M51" s="14">
        <v>9600</v>
      </c>
      <c r="N51" s="14">
        <v>9600</v>
      </c>
      <c r="O51" s="14">
        <v>52800</v>
      </c>
      <c r="P51" s="14">
        <v>9600</v>
      </c>
      <c r="Q51" s="14">
        <f>9600+43390</f>
        <v>52990</v>
      </c>
      <c r="R51" s="14">
        <v>55150</v>
      </c>
      <c r="S51" s="14">
        <f>9600+2350+30000-20000-12350</f>
        <v>9600</v>
      </c>
      <c r="T51" s="14">
        <v>87368</v>
      </c>
      <c r="U51" s="100"/>
      <c r="V51" s="15">
        <f>SUM(I51:T51)</f>
        <v>403300</v>
      </c>
    </row>
    <row r="52" spans="1:22" ht="38.25">
      <c r="A52" s="56" t="s">
        <v>87</v>
      </c>
      <c r="B52" s="48" t="s">
        <v>158</v>
      </c>
      <c r="C52" s="23" t="s">
        <v>6</v>
      </c>
      <c r="D52" s="23">
        <v>5210100590</v>
      </c>
      <c r="E52" s="23">
        <v>244</v>
      </c>
      <c r="F52" s="23">
        <v>340</v>
      </c>
      <c r="G52" s="23"/>
      <c r="H52" s="24">
        <v>56000</v>
      </c>
      <c r="I52" s="14">
        <v>0</v>
      </c>
      <c r="J52" s="14">
        <v>0</v>
      </c>
      <c r="K52" s="14">
        <v>0</v>
      </c>
      <c r="L52" s="14">
        <v>15000</v>
      </c>
      <c r="M52" s="14">
        <v>0</v>
      </c>
      <c r="N52" s="14">
        <v>0</v>
      </c>
      <c r="O52" s="14">
        <v>0</v>
      </c>
      <c r="P52" s="14">
        <f>20000-10400</f>
        <v>9600</v>
      </c>
      <c r="Q52" s="14">
        <v>21000</v>
      </c>
      <c r="R52" s="14">
        <v>0</v>
      </c>
      <c r="S52" s="14">
        <v>0</v>
      </c>
      <c r="T52" s="14">
        <v>10400</v>
      </c>
      <c r="U52" s="100"/>
      <c r="V52" s="15">
        <f>SUM(I52:T52)</f>
        <v>56000</v>
      </c>
    </row>
    <row r="53" spans="1:22" ht="12.75">
      <c r="A53" s="56"/>
      <c r="B53" s="23"/>
      <c r="C53" s="28"/>
      <c r="D53" s="28"/>
      <c r="E53" s="28"/>
      <c r="F53" s="28"/>
      <c r="G53" s="2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00"/>
      <c r="V53" s="15"/>
    </row>
    <row r="54" spans="1:22" s="7" customFormat="1" ht="85.5" customHeight="1">
      <c r="A54" s="62" t="s">
        <v>87</v>
      </c>
      <c r="B54" s="90" t="s">
        <v>51</v>
      </c>
      <c r="C54" s="37" t="s">
        <v>6</v>
      </c>
      <c r="D54" s="37">
        <v>5220000000</v>
      </c>
      <c r="E54" s="37"/>
      <c r="F54" s="36"/>
      <c r="G54" s="37"/>
      <c r="H54" s="13">
        <f aca="true" t="shared" si="8" ref="H54:T54">H55+H56+H59+H61+H62+H63+H58+H60+H57+H64</f>
        <v>8676500</v>
      </c>
      <c r="I54" s="13">
        <f t="shared" si="8"/>
        <v>265675</v>
      </c>
      <c r="J54" s="13">
        <f t="shared" si="8"/>
        <v>650992</v>
      </c>
      <c r="K54" s="13">
        <f t="shared" si="8"/>
        <v>593404.72</v>
      </c>
      <c r="L54" s="13">
        <f t="shared" si="8"/>
        <v>749060.7</v>
      </c>
      <c r="M54" s="13">
        <f t="shared" si="8"/>
        <v>619245.37</v>
      </c>
      <c r="N54" s="13">
        <f t="shared" si="8"/>
        <v>769040</v>
      </c>
      <c r="O54" s="13">
        <f t="shared" si="8"/>
        <v>710785</v>
      </c>
      <c r="P54" s="13">
        <f t="shared" si="8"/>
        <v>727240.77</v>
      </c>
      <c r="Q54" s="13">
        <f t="shared" si="8"/>
        <v>678458.35</v>
      </c>
      <c r="R54" s="13">
        <f t="shared" si="8"/>
        <v>710355.09</v>
      </c>
      <c r="S54" s="13">
        <f t="shared" si="8"/>
        <v>886805.68</v>
      </c>
      <c r="T54" s="13">
        <f t="shared" si="8"/>
        <v>1315437.32</v>
      </c>
      <c r="U54" s="101"/>
      <c r="V54" s="88">
        <f>V55+V56+V59+V61+V62+V63+V58+V60+V57+V64</f>
        <v>8676500</v>
      </c>
    </row>
    <row r="55" spans="1:22" ht="25.5">
      <c r="A55" s="56" t="s">
        <v>87</v>
      </c>
      <c r="B55" s="109" t="s">
        <v>165</v>
      </c>
      <c r="C55" s="23" t="s">
        <v>6</v>
      </c>
      <c r="D55" s="23">
        <v>5220100590</v>
      </c>
      <c r="E55" s="23">
        <v>111</v>
      </c>
      <c r="F55" s="23">
        <v>211</v>
      </c>
      <c r="G55" s="23"/>
      <c r="H55" s="24">
        <v>5264210</v>
      </c>
      <c r="I55" s="14">
        <v>222675</v>
      </c>
      <c r="J55" s="14">
        <v>412560</v>
      </c>
      <c r="K55" s="14">
        <v>361449</v>
      </c>
      <c r="L55" s="14">
        <v>404904</v>
      </c>
      <c r="M55" s="14">
        <v>403786</v>
      </c>
      <c r="N55" s="14">
        <v>563806</v>
      </c>
      <c r="O55" s="14">
        <v>467614</v>
      </c>
      <c r="P55" s="14">
        <v>466909</v>
      </c>
      <c r="Q55" s="14">
        <v>414738</v>
      </c>
      <c r="R55" s="14">
        <v>464562</v>
      </c>
      <c r="S55" s="14">
        <v>534680</v>
      </c>
      <c r="T55" s="14">
        <v>546527</v>
      </c>
      <c r="U55" s="100"/>
      <c r="V55" s="15">
        <f aca="true" t="shared" si="9" ref="V55:V64">SUM(I55:T55)</f>
        <v>5264210</v>
      </c>
    </row>
    <row r="56" spans="1:22" ht="89.25">
      <c r="A56" s="56" t="s">
        <v>87</v>
      </c>
      <c r="B56" s="109" t="s">
        <v>166</v>
      </c>
      <c r="C56" s="23" t="s">
        <v>6</v>
      </c>
      <c r="D56" s="23">
        <v>5220100590</v>
      </c>
      <c r="E56" s="23">
        <v>119</v>
      </c>
      <c r="F56" s="23">
        <v>213</v>
      </c>
      <c r="G56" s="23"/>
      <c r="H56" s="24">
        <v>1589790</v>
      </c>
      <c r="I56" s="14">
        <v>0</v>
      </c>
      <c r="J56" s="14">
        <f>140735.45-20578.8-0.65</f>
        <v>120156.00000000001</v>
      </c>
      <c r="K56" s="14">
        <f>140735.45-29625.34-0.11</f>
        <v>111110.00000000001</v>
      </c>
      <c r="L56" s="14">
        <f>140735.45-30151.55-0.9</f>
        <v>110583.00000000001</v>
      </c>
      <c r="M56" s="14">
        <f>140735.45-23429.22-0.23</f>
        <v>117306.00000000001</v>
      </c>
      <c r="N56" s="14">
        <f>140735.45-24345.74-0.71</f>
        <v>116389</v>
      </c>
      <c r="O56" s="14">
        <f>140735.45+20083-886.53-0.92</f>
        <v>159931</v>
      </c>
      <c r="P56" s="14">
        <f>140735.45+20083-37113.77-0.68</f>
        <v>123704.00000000003</v>
      </c>
      <c r="Q56" s="14">
        <f>140735.45+23429.22-55788.94-0.73</f>
        <v>108375.00000000001</v>
      </c>
      <c r="R56" s="14">
        <f>140735.45+30151.55+55788.94-120501.44-0.5</f>
        <v>106174</v>
      </c>
      <c r="S56" s="14">
        <f>140735.45+29625.34+17200+60250.72-49943.05+3184-0.46</f>
        <v>201052.00000000003</v>
      </c>
      <c r="T56" s="14">
        <f>140735.45+10.05+20578.8+24345.74-18860+886.53+37113.77+60250.72+49943.05-0.11+6</f>
        <v>315009.99999999994</v>
      </c>
      <c r="U56" s="100"/>
      <c r="V56" s="15">
        <f t="shared" si="9"/>
        <v>1589790</v>
      </c>
    </row>
    <row r="57" spans="1:22" ht="38.25" hidden="1">
      <c r="A57" s="56" t="s">
        <v>87</v>
      </c>
      <c r="B57" s="109" t="s">
        <v>200</v>
      </c>
      <c r="C57" s="23" t="s">
        <v>6</v>
      </c>
      <c r="D57" s="23">
        <v>5220100590</v>
      </c>
      <c r="E57" s="23">
        <v>112</v>
      </c>
      <c r="F57" s="23">
        <v>213</v>
      </c>
      <c r="G57" s="23"/>
      <c r="H57" s="2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00"/>
      <c r="V57" s="15">
        <f t="shared" si="9"/>
        <v>0</v>
      </c>
    </row>
    <row r="58" spans="1:22" ht="51">
      <c r="A58" s="56" t="s">
        <v>87</v>
      </c>
      <c r="B58" s="48" t="s">
        <v>169</v>
      </c>
      <c r="C58" s="23" t="s">
        <v>6</v>
      </c>
      <c r="D58" s="23">
        <v>5220100590</v>
      </c>
      <c r="E58" s="23">
        <v>242</v>
      </c>
      <c r="F58" s="23"/>
      <c r="G58" s="23"/>
      <c r="H58" s="24">
        <v>408800</v>
      </c>
      <c r="I58" s="14">
        <v>0</v>
      </c>
      <c r="J58" s="14">
        <f>35736.36-13789.61-0.75</f>
        <v>21946</v>
      </c>
      <c r="K58" s="14">
        <f>35736.36-15879.46+2000-0.9</f>
        <v>21856</v>
      </c>
      <c r="L58" s="14">
        <f>35736.36-15879.46+2000-0.9</f>
        <v>21856</v>
      </c>
      <c r="M58" s="14">
        <f>35736.36-15729.7+2000-0.66</f>
        <v>22006</v>
      </c>
      <c r="N58" s="14">
        <f>35736.36-14040.77+1000-0.59</f>
        <v>22695</v>
      </c>
      <c r="O58" s="14">
        <f>35736.36-14296.08+1000-0.28</f>
        <v>22440</v>
      </c>
      <c r="P58" s="14">
        <f>35736.36+14040.77+14296.08-44514.63+3000-0.58</f>
        <v>22558.000000000007</v>
      </c>
      <c r="Q58" s="14">
        <f>35736.36+15729.7-31657.49+3000-0.57</f>
        <v>22807.999999999996</v>
      </c>
      <c r="R58" s="14">
        <f>35736.36+15879.46-31051.73+1700-0.09</f>
        <v>22264</v>
      </c>
      <c r="S58" s="14">
        <f>35736.36+15879.46+31657.49+31051.73-91702.03-0.01</f>
        <v>22622.999999999996</v>
      </c>
      <c r="T58" s="14">
        <f>35736.4+13789.61+44514.63+91702.03-0.67+6</f>
        <v>185747.99999999997</v>
      </c>
      <c r="U58" s="100"/>
      <c r="V58" s="15">
        <f t="shared" si="9"/>
        <v>408800</v>
      </c>
    </row>
    <row r="59" spans="1:22" ht="25.5">
      <c r="A59" s="56" t="s">
        <v>87</v>
      </c>
      <c r="B59" s="110" t="s">
        <v>168</v>
      </c>
      <c r="C59" s="23" t="s">
        <v>6</v>
      </c>
      <c r="D59" s="23">
        <v>5220100590</v>
      </c>
      <c r="E59" s="23">
        <v>247</v>
      </c>
      <c r="F59" s="23">
        <v>226</v>
      </c>
      <c r="G59" s="23"/>
      <c r="H59" s="24">
        <v>384500</v>
      </c>
      <c r="I59" s="14">
        <v>0</v>
      </c>
      <c r="J59" s="14">
        <v>32950</v>
      </c>
      <c r="K59" s="14">
        <v>54800</v>
      </c>
      <c r="L59" s="14">
        <v>32000</v>
      </c>
      <c r="M59" s="14">
        <v>17800</v>
      </c>
      <c r="N59" s="14">
        <f>11100+350</f>
        <v>11450</v>
      </c>
      <c r="O59" s="14">
        <v>25800</v>
      </c>
      <c r="P59" s="14">
        <v>34700</v>
      </c>
      <c r="Q59" s="14">
        <v>47500</v>
      </c>
      <c r="R59" s="14">
        <v>31200</v>
      </c>
      <c r="S59" s="14">
        <v>31500</v>
      </c>
      <c r="T59" s="14">
        <v>64800</v>
      </c>
      <c r="U59" s="100"/>
      <c r="V59" s="15">
        <f t="shared" si="9"/>
        <v>384500</v>
      </c>
    </row>
    <row r="60" spans="1:22" ht="25.5">
      <c r="A60" s="56"/>
      <c r="B60" s="48" t="s">
        <v>157</v>
      </c>
      <c r="C60" s="23" t="s">
        <v>6</v>
      </c>
      <c r="D60" s="23">
        <v>5220100590</v>
      </c>
      <c r="E60" s="23">
        <v>244</v>
      </c>
      <c r="F60" s="23"/>
      <c r="G60" s="23"/>
      <c r="H60" s="24">
        <v>483700</v>
      </c>
      <c r="I60" s="14">
        <v>43000</v>
      </c>
      <c r="J60" s="14">
        <v>49980</v>
      </c>
      <c r="K60" s="14">
        <f>28600+675</f>
        <v>29275</v>
      </c>
      <c r="L60" s="14">
        <f>117732</f>
        <v>117732</v>
      </c>
      <c r="M60" s="14">
        <f>28600+675-62</f>
        <v>29213</v>
      </c>
      <c r="N60" s="14">
        <v>15800</v>
      </c>
      <c r="O60" s="14">
        <v>12500</v>
      </c>
      <c r="P60" s="14">
        <v>46100</v>
      </c>
      <c r="Q60" s="14">
        <v>29300</v>
      </c>
      <c r="R60" s="14">
        <v>29300</v>
      </c>
      <c r="S60" s="14">
        <v>22100</v>
      </c>
      <c r="T60" s="14">
        <v>59400</v>
      </c>
      <c r="U60" s="100"/>
      <c r="V60" s="15">
        <f t="shared" si="9"/>
        <v>483700</v>
      </c>
    </row>
    <row r="61" spans="1:22" s="7" customFormat="1" ht="38.25">
      <c r="A61" s="65" t="s">
        <v>87</v>
      </c>
      <c r="B61" s="48" t="s">
        <v>158</v>
      </c>
      <c r="C61" s="23" t="s">
        <v>6</v>
      </c>
      <c r="D61" s="23">
        <v>5220100590</v>
      </c>
      <c r="E61" s="23">
        <v>244</v>
      </c>
      <c r="F61" s="23">
        <v>340</v>
      </c>
      <c r="G61" s="23" t="s">
        <v>41</v>
      </c>
      <c r="H61" s="24">
        <v>486500</v>
      </c>
      <c r="I61" s="14">
        <v>0</v>
      </c>
      <c r="J61" s="14">
        <v>9700</v>
      </c>
      <c r="K61" s="14">
        <f>20000+32500-37585.28</f>
        <v>14914.720000000001</v>
      </c>
      <c r="L61" s="14">
        <f>32500+29485.7</f>
        <v>61985.7</v>
      </c>
      <c r="M61" s="14">
        <f>20000+32500-23365.63</f>
        <v>29134.37</v>
      </c>
      <c r="N61" s="14">
        <f>21400+32500-15000</f>
        <v>38900</v>
      </c>
      <c r="O61" s="14">
        <f>32500-10000</f>
        <v>22500</v>
      </c>
      <c r="P61" s="14">
        <f>20000+32500+10000-43330.23</f>
        <v>19169.769999999997</v>
      </c>
      <c r="Q61" s="14">
        <f>32500+23365.63+15000-15128.28</f>
        <v>55737.350000000006</v>
      </c>
      <c r="R61" s="14">
        <f>20000+32500+15000-10644.91</f>
        <v>56855.09</v>
      </c>
      <c r="S61" s="14">
        <f>20000+32500+37585.28-29485.7+15128.28+1064.91-13142.09</f>
        <v>63650.68000000001</v>
      </c>
      <c r="T61" s="14">
        <f>31100+32500+32500-31900+43330.23+9580+13142.09-16300</f>
        <v>113952.32</v>
      </c>
      <c r="U61" s="100"/>
      <c r="V61" s="15">
        <f t="shared" si="9"/>
        <v>486500</v>
      </c>
    </row>
    <row r="62" spans="1:22" ht="30.75" customHeight="1">
      <c r="A62" s="56" t="s">
        <v>87</v>
      </c>
      <c r="B62" s="48" t="s">
        <v>159</v>
      </c>
      <c r="C62" s="23" t="s">
        <v>6</v>
      </c>
      <c r="D62" s="23">
        <v>5220100590</v>
      </c>
      <c r="E62" s="23">
        <v>851</v>
      </c>
      <c r="F62" s="23">
        <v>290</v>
      </c>
      <c r="G62" s="23" t="s">
        <v>50</v>
      </c>
      <c r="H62" s="24">
        <v>46000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14100</v>
      </c>
      <c r="Q62" s="14">
        <v>0</v>
      </c>
      <c r="R62" s="14">
        <v>0</v>
      </c>
      <c r="S62" s="14">
        <v>11200</v>
      </c>
      <c r="T62" s="14">
        <v>20700</v>
      </c>
      <c r="U62" s="100"/>
      <c r="V62" s="15">
        <f t="shared" si="9"/>
        <v>46000</v>
      </c>
    </row>
    <row r="63" spans="1:22" ht="18" customHeight="1">
      <c r="A63" s="56" t="s">
        <v>87</v>
      </c>
      <c r="B63" s="48" t="s">
        <v>167</v>
      </c>
      <c r="C63" s="23" t="s">
        <v>6</v>
      </c>
      <c r="D63" s="23">
        <v>5220100590</v>
      </c>
      <c r="E63" s="23">
        <v>852</v>
      </c>
      <c r="F63" s="23"/>
      <c r="G63" s="23"/>
      <c r="H63" s="24">
        <v>13000</v>
      </c>
      <c r="I63" s="14">
        <v>0</v>
      </c>
      <c r="J63" s="14">
        <v>3700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9300</v>
      </c>
      <c r="U63" s="100"/>
      <c r="V63" s="15">
        <f t="shared" si="9"/>
        <v>13000</v>
      </c>
    </row>
    <row r="64" spans="1:22" ht="21" customHeight="1" hidden="1">
      <c r="A64" s="56" t="s">
        <v>87</v>
      </c>
      <c r="B64" s="48" t="s">
        <v>201</v>
      </c>
      <c r="C64" s="23" t="s">
        <v>6</v>
      </c>
      <c r="D64" s="23">
        <v>5220100590</v>
      </c>
      <c r="E64" s="23">
        <v>853</v>
      </c>
      <c r="F64" s="23"/>
      <c r="G64" s="23"/>
      <c r="H64" s="2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00"/>
      <c r="V64" s="15">
        <f t="shared" si="9"/>
        <v>0</v>
      </c>
    </row>
    <row r="65" spans="1:22" ht="12.75">
      <c r="A65" s="56"/>
      <c r="B65" s="23"/>
      <c r="C65" s="28"/>
      <c r="D65" s="28"/>
      <c r="E65" s="28"/>
      <c r="F65" s="28"/>
      <c r="G65" s="2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00"/>
      <c r="V65" s="15"/>
    </row>
    <row r="66" spans="1:22" s="7" customFormat="1" ht="51">
      <c r="A66" s="62" t="s">
        <v>87</v>
      </c>
      <c r="B66" s="90" t="s">
        <v>52</v>
      </c>
      <c r="C66" s="37" t="s">
        <v>6</v>
      </c>
      <c r="D66" s="37">
        <v>5230000000</v>
      </c>
      <c r="E66" s="36"/>
      <c r="F66" s="36"/>
      <c r="G66" s="37"/>
      <c r="H66" s="13">
        <f aca="true" t="shared" si="10" ref="H66:T66">H67+H68+H69</f>
        <v>1383500</v>
      </c>
      <c r="I66" s="13">
        <f t="shared" si="10"/>
        <v>31900</v>
      </c>
      <c r="J66" s="13">
        <f t="shared" si="10"/>
        <v>95400</v>
      </c>
      <c r="K66" s="13">
        <f t="shared" si="10"/>
        <v>135500</v>
      </c>
      <c r="L66" s="13">
        <f t="shared" si="10"/>
        <v>92200</v>
      </c>
      <c r="M66" s="13">
        <f t="shared" si="10"/>
        <v>163900</v>
      </c>
      <c r="N66" s="13">
        <f t="shared" si="10"/>
        <v>110900</v>
      </c>
      <c r="O66" s="13">
        <f t="shared" si="10"/>
        <v>90125</v>
      </c>
      <c r="P66" s="13">
        <f t="shared" si="10"/>
        <v>110600</v>
      </c>
      <c r="Q66" s="13">
        <f t="shared" si="10"/>
        <v>100600</v>
      </c>
      <c r="R66" s="13">
        <f t="shared" si="10"/>
        <v>140900</v>
      </c>
      <c r="S66" s="13">
        <f t="shared" si="10"/>
        <v>123900</v>
      </c>
      <c r="T66" s="13">
        <f t="shared" si="10"/>
        <v>187575</v>
      </c>
      <c r="U66" s="58"/>
      <c r="V66" s="88">
        <f>V67+V68+V69</f>
        <v>1383500</v>
      </c>
    </row>
    <row r="67" spans="1:22" ht="25.5">
      <c r="A67" s="56" t="s">
        <v>87</v>
      </c>
      <c r="B67" s="109" t="s">
        <v>165</v>
      </c>
      <c r="C67" s="23" t="s">
        <v>6</v>
      </c>
      <c r="D67" s="23">
        <v>5230100590</v>
      </c>
      <c r="E67" s="23">
        <v>111</v>
      </c>
      <c r="F67" s="23">
        <v>211</v>
      </c>
      <c r="G67" s="23"/>
      <c r="H67" s="24">
        <v>1036175</v>
      </c>
      <c r="I67" s="14">
        <v>31900</v>
      </c>
      <c r="J67" s="14">
        <v>73700</v>
      </c>
      <c r="K67" s="14">
        <v>110400</v>
      </c>
      <c r="L67" s="14">
        <v>62100</v>
      </c>
      <c r="M67" s="14">
        <v>141300</v>
      </c>
      <c r="N67" s="14">
        <v>53800</v>
      </c>
      <c r="O67" s="14">
        <v>72800</v>
      </c>
      <c r="P67" s="14">
        <v>88000</v>
      </c>
      <c r="Q67" s="14">
        <v>77700</v>
      </c>
      <c r="R67" s="14">
        <v>116100</v>
      </c>
      <c r="S67" s="14">
        <v>85800</v>
      </c>
      <c r="T67" s="14">
        <v>122575</v>
      </c>
      <c r="U67" s="100"/>
      <c r="V67" s="15">
        <f>SUM(I67:T67)</f>
        <v>1036175</v>
      </c>
    </row>
    <row r="68" spans="1:22" ht="89.25">
      <c r="A68" s="56" t="s">
        <v>87</v>
      </c>
      <c r="B68" s="109" t="s">
        <v>166</v>
      </c>
      <c r="C68" s="23" t="s">
        <v>6</v>
      </c>
      <c r="D68" s="23">
        <v>5230100590</v>
      </c>
      <c r="E68" s="23">
        <v>119</v>
      </c>
      <c r="F68" s="23">
        <v>213</v>
      </c>
      <c r="G68" s="23"/>
      <c r="H68" s="24">
        <v>312925</v>
      </c>
      <c r="I68" s="14">
        <v>0</v>
      </c>
      <c r="J68" s="14">
        <v>21700</v>
      </c>
      <c r="K68" s="14">
        <v>25100</v>
      </c>
      <c r="L68" s="14">
        <v>30100</v>
      </c>
      <c r="M68" s="14">
        <v>22600</v>
      </c>
      <c r="N68" s="14">
        <v>39900</v>
      </c>
      <c r="O68" s="14">
        <v>17325</v>
      </c>
      <c r="P68" s="14">
        <v>22600</v>
      </c>
      <c r="Q68" s="14">
        <v>22900</v>
      </c>
      <c r="R68" s="14">
        <v>24800</v>
      </c>
      <c r="S68" s="14">
        <v>38100</v>
      </c>
      <c r="T68" s="14">
        <v>47800</v>
      </c>
      <c r="U68" s="100"/>
      <c r="V68" s="15">
        <f>SUM(I68:T68)</f>
        <v>312925</v>
      </c>
    </row>
    <row r="69" spans="1:22" ht="38.25">
      <c r="A69" s="56" t="s">
        <v>87</v>
      </c>
      <c r="B69" s="48" t="s">
        <v>158</v>
      </c>
      <c r="C69" s="23" t="s">
        <v>6</v>
      </c>
      <c r="D69" s="23">
        <v>5230100590</v>
      </c>
      <c r="E69" s="23">
        <v>244</v>
      </c>
      <c r="F69" s="23">
        <v>340</v>
      </c>
      <c r="G69" s="23"/>
      <c r="H69" s="24">
        <v>34400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17200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17200</v>
      </c>
      <c r="U69" s="100"/>
      <c r="V69" s="15">
        <f>SUM(I69:T69)</f>
        <v>34400</v>
      </c>
    </row>
    <row r="70" spans="1:22" ht="12.75">
      <c r="A70" s="56"/>
      <c r="B70" s="23"/>
      <c r="C70" s="28"/>
      <c r="D70" s="28"/>
      <c r="E70" s="28"/>
      <c r="F70" s="28"/>
      <c r="G70" s="2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00"/>
      <c r="V70" s="15"/>
    </row>
    <row r="71" spans="1:22" ht="63.75">
      <c r="A71" s="62" t="s">
        <v>87</v>
      </c>
      <c r="B71" s="90" t="s">
        <v>107</v>
      </c>
      <c r="C71" s="37" t="s">
        <v>6</v>
      </c>
      <c r="D71" s="37">
        <v>5300000000</v>
      </c>
      <c r="E71" s="35"/>
      <c r="F71" s="35"/>
      <c r="G71" s="41"/>
      <c r="H71" s="13">
        <f aca="true" t="shared" si="11" ref="H71:T71">H75+H78+H81</f>
        <v>504400</v>
      </c>
      <c r="I71" s="13">
        <f t="shared" si="11"/>
        <v>0</v>
      </c>
      <c r="J71" s="13">
        <f t="shared" si="11"/>
        <v>0</v>
      </c>
      <c r="K71" s="13">
        <f t="shared" si="11"/>
        <v>62400</v>
      </c>
      <c r="L71" s="13">
        <f t="shared" si="11"/>
        <v>27144</v>
      </c>
      <c r="M71" s="13">
        <f t="shared" si="11"/>
        <v>35256</v>
      </c>
      <c r="N71" s="13">
        <f t="shared" si="11"/>
        <v>151200</v>
      </c>
      <c r="O71" s="13">
        <f t="shared" si="11"/>
        <v>34650</v>
      </c>
      <c r="P71" s="13">
        <f t="shared" si="11"/>
        <v>31200</v>
      </c>
      <c r="Q71" s="13">
        <f t="shared" si="11"/>
        <v>31200</v>
      </c>
      <c r="R71" s="13">
        <f t="shared" si="11"/>
        <v>62400</v>
      </c>
      <c r="S71" s="13">
        <f t="shared" si="11"/>
        <v>0</v>
      </c>
      <c r="T71" s="13">
        <f t="shared" si="11"/>
        <v>68950</v>
      </c>
      <c r="U71" s="101"/>
      <c r="V71" s="87">
        <f>SUM(I71:T71)</f>
        <v>504400</v>
      </c>
    </row>
    <row r="72" spans="1:22" ht="12.75" hidden="1">
      <c r="A72" s="56" t="s">
        <v>37</v>
      </c>
      <c r="B72" s="23" t="s">
        <v>14</v>
      </c>
      <c r="C72" s="28" t="s">
        <v>6</v>
      </c>
      <c r="D72" s="16">
        <v>5510110010</v>
      </c>
      <c r="E72" s="28">
        <v>244</v>
      </c>
      <c r="F72" s="28">
        <v>290</v>
      </c>
      <c r="G72" s="23" t="s">
        <v>50</v>
      </c>
      <c r="H72" s="2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00"/>
      <c r="V72" s="15">
        <f>SUM(I72:T72)</f>
        <v>0</v>
      </c>
    </row>
    <row r="73" spans="1:22" ht="12.75">
      <c r="A73" s="56"/>
      <c r="B73" s="23"/>
      <c r="C73" s="28"/>
      <c r="D73" s="16"/>
      <c r="E73" s="28"/>
      <c r="F73" s="28"/>
      <c r="G73" s="2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00"/>
      <c r="V73" s="15"/>
    </row>
    <row r="74" spans="1:22" ht="12.75" hidden="1">
      <c r="A74" s="60"/>
      <c r="B74" s="67"/>
      <c r="C74" s="16"/>
      <c r="D74" s="16"/>
      <c r="E74" s="16"/>
      <c r="F74" s="16"/>
      <c r="G74" s="10"/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00"/>
      <c r="V74" s="15">
        <f>SUM(I74:T74)</f>
        <v>0</v>
      </c>
    </row>
    <row r="75" spans="1:22" s="7" customFormat="1" ht="123" customHeight="1">
      <c r="A75" s="62" t="s">
        <v>87</v>
      </c>
      <c r="B75" s="90" t="s">
        <v>108</v>
      </c>
      <c r="C75" s="37" t="s">
        <v>6</v>
      </c>
      <c r="D75" s="37">
        <v>5310000000</v>
      </c>
      <c r="E75" s="37"/>
      <c r="F75" s="36"/>
      <c r="G75" s="37"/>
      <c r="H75" s="13">
        <f aca="true" t="shared" si="12" ref="H75:T75">H76</f>
        <v>374400</v>
      </c>
      <c r="I75" s="13">
        <f t="shared" si="12"/>
        <v>0</v>
      </c>
      <c r="J75" s="13">
        <f t="shared" si="12"/>
        <v>0</v>
      </c>
      <c r="K75" s="13">
        <f t="shared" si="12"/>
        <v>62400</v>
      </c>
      <c r="L75" s="13">
        <f t="shared" si="12"/>
        <v>27144</v>
      </c>
      <c r="M75" s="13">
        <f t="shared" si="12"/>
        <v>35256</v>
      </c>
      <c r="N75" s="13">
        <f t="shared" si="12"/>
        <v>31200</v>
      </c>
      <c r="O75" s="13">
        <f t="shared" si="12"/>
        <v>31200</v>
      </c>
      <c r="P75" s="13">
        <f t="shared" si="12"/>
        <v>31200</v>
      </c>
      <c r="Q75" s="13">
        <f t="shared" si="12"/>
        <v>31200</v>
      </c>
      <c r="R75" s="13">
        <f t="shared" si="12"/>
        <v>62400</v>
      </c>
      <c r="S75" s="13">
        <f t="shared" si="12"/>
        <v>0</v>
      </c>
      <c r="T75" s="13">
        <f t="shared" si="12"/>
        <v>62400</v>
      </c>
      <c r="U75" s="101"/>
      <c r="V75" s="87">
        <f>SUM(I75:T75)</f>
        <v>374400</v>
      </c>
    </row>
    <row r="76" spans="1:22" ht="24.75" customHeight="1">
      <c r="A76" s="56" t="s">
        <v>87</v>
      </c>
      <c r="B76" s="48" t="s">
        <v>170</v>
      </c>
      <c r="C76" s="23" t="s">
        <v>6</v>
      </c>
      <c r="D76" s="10">
        <v>5310110020</v>
      </c>
      <c r="E76" s="10">
        <v>360</v>
      </c>
      <c r="F76" s="10">
        <v>296</v>
      </c>
      <c r="G76" s="10" t="s">
        <v>53</v>
      </c>
      <c r="H76" s="29">
        <v>374400</v>
      </c>
      <c r="I76" s="14">
        <v>0</v>
      </c>
      <c r="J76" s="14">
        <v>0</v>
      </c>
      <c r="K76" s="14">
        <f>93600-31200</f>
        <v>62400</v>
      </c>
      <c r="L76" s="14">
        <v>27144</v>
      </c>
      <c r="M76" s="14">
        <v>35256</v>
      </c>
      <c r="N76" s="14">
        <f>93600-27144-35256</f>
        <v>31200</v>
      </c>
      <c r="O76" s="14">
        <v>31200</v>
      </c>
      <c r="P76" s="14">
        <f>35256-4056</f>
        <v>31200</v>
      </c>
      <c r="Q76" s="14">
        <f>93600-62400</f>
        <v>31200</v>
      </c>
      <c r="R76" s="14">
        <f>4056+58344</f>
        <v>62400</v>
      </c>
      <c r="S76" s="14">
        <v>0</v>
      </c>
      <c r="T76" s="14">
        <v>62400</v>
      </c>
      <c r="U76" s="100"/>
      <c r="V76" s="15">
        <f>SUM(I76:T76)</f>
        <v>374400</v>
      </c>
    </row>
    <row r="77" spans="1:22" ht="12.75">
      <c r="A77" s="56"/>
      <c r="B77" s="23"/>
      <c r="C77" s="23"/>
      <c r="D77" s="23"/>
      <c r="E77" s="23"/>
      <c r="F77" s="28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103"/>
      <c r="V77" s="15"/>
    </row>
    <row r="78" spans="1:22" s="7" customFormat="1" ht="76.5">
      <c r="A78" s="62" t="s">
        <v>87</v>
      </c>
      <c r="B78" s="90" t="s">
        <v>109</v>
      </c>
      <c r="C78" s="37" t="s">
        <v>6</v>
      </c>
      <c r="D78" s="37">
        <v>5320000000</v>
      </c>
      <c r="E78" s="37"/>
      <c r="F78" s="37"/>
      <c r="G78" s="37"/>
      <c r="H78" s="13">
        <f aca="true" t="shared" si="13" ref="H78:T78">H80</f>
        <v>10000</v>
      </c>
      <c r="I78" s="13">
        <f t="shared" si="13"/>
        <v>0</v>
      </c>
      <c r="J78" s="13">
        <f t="shared" si="13"/>
        <v>0</v>
      </c>
      <c r="K78" s="13">
        <f t="shared" si="13"/>
        <v>0</v>
      </c>
      <c r="L78" s="13">
        <f t="shared" si="13"/>
        <v>0</v>
      </c>
      <c r="M78" s="13">
        <f t="shared" si="13"/>
        <v>0</v>
      </c>
      <c r="N78" s="13">
        <f t="shared" si="13"/>
        <v>0</v>
      </c>
      <c r="O78" s="13">
        <f t="shared" si="13"/>
        <v>3450</v>
      </c>
      <c r="P78" s="13">
        <f t="shared" si="13"/>
        <v>0</v>
      </c>
      <c r="Q78" s="13">
        <f t="shared" si="13"/>
        <v>0</v>
      </c>
      <c r="R78" s="13">
        <f t="shared" si="13"/>
        <v>0</v>
      </c>
      <c r="S78" s="13">
        <f t="shared" si="13"/>
        <v>0</v>
      </c>
      <c r="T78" s="13">
        <f t="shared" si="13"/>
        <v>6550</v>
      </c>
      <c r="U78" s="101"/>
      <c r="V78" s="87">
        <f>SUM(I78:T78)</f>
        <v>10000</v>
      </c>
    </row>
    <row r="79" spans="1:22" s="8" customFormat="1" ht="12.75">
      <c r="A79" s="64"/>
      <c r="B79" s="9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103"/>
      <c r="V79" s="39"/>
    </row>
    <row r="80" spans="1:22" ht="38.25">
      <c r="A80" s="56" t="s">
        <v>87</v>
      </c>
      <c r="B80" s="48" t="s">
        <v>158</v>
      </c>
      <c r="C80" s="23" t="s">
        <v>6</v>
      </c>
      <c r="D80" s="10">
        <v>5320110030</v>
      </c>
      <c r="E80" s="23">
        <v>244</v>
      </c>
      <c r="F80" s="23">
        <v>340</v>
      </c>
      <c r="G80" s="23"/>
      <c r="H80" s="29">
        <v>10000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3450</v>
      </c>
      <c r="P80" s="14">
        <v>0</v>
      </c>
      <c r="Q80" s="14">
        <v>0</v>
      </c>
      <c r="R80" s="14">
        <v>0</v>
      </c>
      <c r="S80" s="14">
        <v>0</v>
      </c>
      <c r="T80" s="14">
        <v>6550</v>
      </c>
      <c r="U80" s="100"/>
      <c r="V80" s="15">
        <f>SUM(I80:T80)</f>
        <v>10000</v>
      </c>
    </row>
    <row r="81" spans="1:22" s="7" customFormat="1" ht="76.5">
      <c r="A81" s="62" t="s">
        <v>87</v>
      </c>
      <c r="B81" s="90" t="s">
        <v>110</v>
      </c>
      <c r="C81" s="37" t="s">
        <v>6</v>
      </c>
      <c r="D81" s="37">
        <v>5330000000</v>
      </c>
      <c r="E81" s="37"/>
      <c r="F81" s="37"/>
      <c r="G81" s="37"/>
      <c r="H81" s="13">
        <f aca="true" t="shared" si="14" ref="H81:T81">H82</f>
        <v>120000</v>
      </c>
      <c r="I81" s="13">
        <f t="shared" si="14"/>
        <v>0</v>
      </c>
      <c r="J81" s="13">
        <f t="shared" si="14"/>
        <v>0</v>
      </c>
      <c r="K81" s="13">
        <f t="shared" si="14"/>
        <v>0</v>
      </c>
      <c r="L81" s="13">
        <f t="shared" si="14"/>
        <v>0</v>
      </c>
      <c r="M81" s="13">
        <f t="shared" si="14"/>
        <v>0</v>
      </c>
      <c r="N81" s="13">
        <f t="shared" si="14"/>
        <v>120000</v>
      </c>
      <c r="O81" s="13">
        <f t="shared" si="14"/>
        <v>0</v>
      </c>
      <c r="P81" s="13">
        <f t="shared" si="14"/>
        <v>0</v>
      </c>
      <c r="Q81" s="13">
        <f t="shared" si="14"/>
        <v>0</v>
      </c>
      <c r="R81" s="13">
        <f t="shared" si="14"/>
        <v>0</v>
      </c>
      <c r="S81" s="13">
        <f t="shared" si="14"/>
        <v>0</v>
      </c>
      <c r="T81" s="13">
        <f t="shared" si="14"/>
        <v>0</v>
      </c>
      <c r="U81" s="101"/>
      <c r="V81" s="87">
        <f>SUM(I81:T81)</f>
        <v>120000</v>
      </c>
    </row>
    <row r="82" spans="1:22" ht="29.25" customHeight="1">
      <c r="A82" s="56" t="s">
        <v>87</v>
      </c>
      <c r="B82" s="48" t="s">
        <v>157</v>
      </c>
      <c r="C82" s="23" t="s">
        <v>6</v>
      </c>
      <c r="D82" s="10">
        <v>5330110040</v>
      </c>
      <c r="E82" s="23">
        <v>244</v>
      </c>
      <c r="F82" s="23">
        <v>226</v>
      </c>
      <c r="G82" s="23"/>
      <c r="H82" s="14">
        <v>120000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120000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100"/>
      <c r="V82" s="15">
        <f>SUM(I82:T82)</f>
        <v>120000</v>
      </c>
    </row>
    <row r="83" spans="1:22" ht="12.75">
      <c r="A83" s="56"/>
      <c r="B83" s="23"/>
      <c r="C83" s="28"/>
      <c r="D83" s="16"/>
      <c r="E83" s="28"/>
      <c r="F83" s="28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103"/>
      <c r="V83" s="15"/>
    </row>
    <row r="84" spans="1:22" ht="71.25" customHeight="1">
      <c r="A84" s="62" t="s">
        <v>87</v>
      </c>
      <c r="B84" s="90" t="s">
        <v>111</v>
      </c>
      <c r="C84" s="37" t="s">
        <v>6</v>
      </c>
      <c r="D84" s="37">
        <v>5400000000</v>
      </c>
      <c r="E84" s="35"/>
      <c r="F84" s="35"/>
      <c r="G84" s="41"/>
      <c r="H84" s="13">
        <f aca="true" t="shared" si="15" ref="H84:T84">H86+H90</f>
        <v>481900</v>
      </c>
      <c r="I84" s="13">
        <f t="shared" si="15"/>
        <v>15000</v>
      </c>
      <c r="J84" s="13">
        <f t="shared" si="15"/>
        <v>34350</v>
      </c>
      <c r="K84" s="13">
        <f t="shared" si="15"/>
        <v>35150</v>
      </c>
      <c r="L84" s="13">
        <f t="shared" si="15"/>
        <v>35650</v>
      </c>
      <c r="M84" s="13">
        <f t="shared" si="15"/>
        <v>40650</v>
      </c>
      <c r="N84" s="13">
        <f t="shared" si="15"/>
        <v>47150</v>
      </c>
      <c r="O84" s="13">
        <f t="shared" si="15"/>
        <v>41000</v>
      </c>
      <c r="P84" s="13">
        <f t="shared" si="15"/>
        <v>35450</v>
      </c>
      <c r="Q84" s="13">
        <f t="shared" si="15"/>
        <v>41000</v>
      </c>
      <c r="R84" s="13">
        <f t="shared" si="15"/>
        <v>43850</v>
      </c>
      <c r="S84" s="13">
        <f t="shared" si="15"/>
        <v>46000</v>
      </c>
      <c r="T84" s="13">
        <f t="shared" si="15"/>
        <v>66650</v>
      </c>
      <c r="U84" s="101"/>
      <c r="V84" s="87">
        <f>SUM(I84:T84)</f>
        <v>481900</v>
      </c>
    </row>
    <row r="85" spans="1:22" ht="15" customHeight="1">
      <c r="A85" s="56"/>
      <c r="B85" s="23"/>
      <c r="C85" s="28"/>
      <c r="D85" s="16"/>
      <c r="E85" s="28"/>
      <c r="F85" s="28"/>
      <c r="G85" s="23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00"/>
      <c r="V85" s="15"/>
    </row>
    <row r="86" spans="1:22" s="7" customFormat="1" ht="98.25" customHeight="1">
      <c r="A86" s="62" t="s">
        <v>87</v>
      </c>
      <c r="B86" s="90" t="s">
        <v>171</v>
      </c>
      <c r="C86" s="37" t="s">
        <v>6</v>
      </c>
      <c r="D86" s="37">
        <v>5410000000</v>
      </c>
      <c r="E86" s="36"/>
      <c r="F86" s="36"/>
      <c r="G86" s="37"/>
      <c r="H86" s="13">
        <f aca="true" t="shared" si="16" ref="H86:T86">H87+H88+H89</f>
        <v>161200</v>
      </c>
      <c r="I86" s="13">
        <f t="shared" si="16"/>
        <v>0</v>
      </c>
      <c r="J86" s="13">
        <f t="shared" si="16"/>
        <v>14350</v>
      </c>
      <c r="K86" s="13">
        <f t="shared" si="16"/>
        <v>15150</v>
      </c>
      <c r="L86" s="13">
        <f t="shared" si="16"/>
        <v>15150</v>
      </c>
      <c r="M86" s="13">
        <f t="shared" si="16"/>
        <v>15650</v>
      </c>
      <c r="N86" s="13">
        <f t="shared" si="16"/>
        <v>15150</v>
      </c>
      <c r="O86" s="13">
        <f t="shared" si="16"/>
        <v>15000</v>
      </c>
      <c r="P86" s="13">
        <f t="shared" si="16"/>
        <v>15450</v>
      </c>
      <c r="Q86" s="13">
        <f t="shared" si="16"/>
        <v>15000</v>
      </c>
      <c r="R86" s="13">
        <f t="shared" si="16"/>
        <v>13850</v>
      </c>
      <c r="S86" s="13">
        <f t="shared" si="16"/>
        <v>16000</v>
      </c>
      <c r="T86" s="13">
        <f t="shared" si="16"/>
        <v>10450</v>
      </c>
      <c r="U86" s="101"/>
      <c r="V86" s="87">
        <f aca="true" t="shared" si="17" ref="V86:V97">SUM(I86:T86)</f>
        <v>161200</v>
      </c>
    </row>
    <row r="87" spans="1:22" ht="35.25" customHeight="1">
      <c r="A87" s="56" t="s">
        <v>87</v>
      </c>
      <c r="B87" s="48" t="s">
        <v>157</v>
      </c>
      <c r="C87" s="10" t="s">
        <v>6</v>
      </c>
      <c r="D87" s="10">
        <v>5410110060</v>
      </c>
      <c r="E87" s="10">
        <v>244</v>
      </c>
      <c r="F87" s="10">
        <v>226</v>
      </c>
      <c r="G87" s="10"/>
      <c r="H87" s="24">
        <v>56000</v>
      </c>
      <c r="I87" s="14">
        <v>0</v>
      </c>
      <c r="J87" s="14">
        <v>4200</v>
      </c>
      <c r="K87" s="14">
        <v>5000</v>
      </c>
      <c r="L87" s="14">
        <v>5000</v>
      </c>
      <c r="M87" s="14">
        <v>5500</v>
      </c>
      <c r="N87" s="14">
        <v>5000</v>
      </c>
      <c r="O87" s="14">
        <v>5000</v>
      </c>
      <c r="P87" s="14">
        <v>5300</v>
      </c>
      <c r="Q87" s="14">
        <v>5000</v>
      </c>
      <c r="R87" s="14">
        <v>5000</v>
      </c>
      <c r="S87" s="14">
        <v>6000</v>
      </c>
      <c r="T87" s="14">
        <v>5000</v>
      </c>
      <c r="U87" s="100"/>
      <c r="V87" s="15">
        <f t="shared" si="17"/>
        <v>56000</v>
      </c>
    </row>
    <row r="88" spans="1:22" ht="35.25" customHeight="1" hidden="1">
      <c r="A88" s="56" t="s">
        <v>87</v>
      </c>
      <c r="B88" s="48" t="s">
        <v>173</v>
      </c>
      <c r="C88" s="10" t="s">
        <v>6</v>
      </c>
      <c r="D88" s="10">
        <v>5410110060</v>
      </c>
      <c r="E88" s="10">
        <v>244</v>
      </c>
      <c r="F88" s="10">
        <v>310</v>
      </c>
      <c r="G88" s="10"/>
      <c r="H88" s="2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00"/>
      <c r="V88" s="15">
        <f t="shared" si="17"/>
        <v>0</v>
      </c>
    </row>
    <row r="89" spans="1:22" ht="41.25" customHeight="1">
      <c r="A89" s="56" t="s">
        <v>87</v>
      </c>
      <c r="B89" s="48" t="s">
        <v>158</v>
      </c>
      <c r="C89" s="10" t="s">
        <v>6</v>
      </c>
      <c r="D89" s="10">
        <v>5410110060</v>
      </c>
      <c r="E89" s="10">
        <v>244</v>
      </c>
      <c r="F89" s="10">
        <v>340</v>
      </c>
      <c r="G89" s="10"/>
      <c r="H89" s="24">
        <v>105200</v>
      </c>
      <c r="I89" s="14">
        <v>0</v>
      </c>
      <c r="J89" s="14">
        <v>10150</v>
      </c>
      <c r="K89" s="14">
        <v>10150</v>
      </c>
      <c r="L89" s="14">
        <v>10150</v>
      </c>
      <c r="M89" s="14">
        <v>10150</v>
      </c>
      <c r="N89" s="14">
        <v>10150</v>
      </c>
      <c r="O89" s="14">
        <v>10000</v>
      </c>
      <c r="P89" s="14">
        <v>10150</v>
      </c>
      <c r="Q89" s="14">
        <v>10000</v>
      </c>
      <c r="R89" s="14">
        <v>8850</v>
      </c>
      <c r="S89" s="14">
        <v>10000</v>
      </c>
      <c r="T89" s="14">
        <v>5450</v>
      </c>
      <c r="U89" s="100"/>
      <c r="V89" s="15">
        <f t="shared" si="17"/>
        <v>105200</v>
      </c>
    </row>
    <row r="90" spans="1:22" s="7" customFormat="1" ht="86.25" customHeight="1">
      <c r="A90" s="62" t="s">
        <v>87</v>
      </c>
      <c r="B90" s="90" t="s">
        <v>172</v>
      </c>
      <c r="C90" s="37" t="s">
        <v>6</v>
      </c>
      <c r="D90" s="37">
        <v>5420000000</v>
      </c>
      <c r="E90" s="37"/>
      <c r="F90" s="37"/>
      <c r="G90" s="37"/>
      <c r="H90" s="13">
        <f aca="true" t="shared" si="18" ref="H90:T90">H91</f>
        <v>320700</v>
      </c>
      <c r="I90" s="13">
        <f t="shared" si="18"/>
        <v>15000</v>
      </c>
      <c r="J90" s="13">
        <f t="shared" si="18"/>
        <v>20000</v>
      </c>
      <c r="K90" s="13">
        <f t="shared" si="18"/>
        <v>20000</v>
      </c>
      <c r="L90" s="13">
        <f t="shared" si="18"/>
        <v>20500</v>
      </c>
      <c r="M90" s="13">
        <f t="shared" si="18"/>
        <v>25000</v>
      </c>
      <c r="N90" s="13">
        <f t="shared" si="18"/>
        <v>32000</v>
      </c>
      <c r="O90" s="13">
        <f t="shared" si="18"/>
        <v>26000</v>
      </c>
      <c r="P90" s="13">
        <f t="shared" si="18"/>
        <v>20000</v>
      </c>
      <c r="Q90" s="13">
        <f t="shared" si="18"/>
        <v>26000</v>
      </c>
      <c r="R90" s="13">
        <f t="shared" si="18"/>
        <v>30000</v>
      </c>
      <c r="S90" s="13">
        <f t="shared" si="18"/>
        <v>30000</v>
      </c>
      <c r="T90" s="13">
        <f t="shared" si="18"/>
        <v>56200</v>
      </c>
      <c r="U90" s="101"/>
      <c r="V90" s="87">
        <f t="shared" si="17"/>
        <v>320700</v>
      </c>
    </row>
    <row r="91" spans="1:22" ht="25.5" customHeight="1">
      <c r="A91" s="56" t="s">
        <v>87</v>
      </c>
      <c r="B91" s="48" t="s">
        <v>157</v>
      </c>
      <c r="C91" s="10" t="s">
        <v>6</v>
      </c>
      <c r="D91" s="10">
        <v>5420110070</v>
      </c>
      <c r="E91" s="10">
        <v>244</v>
      </c>
      <c r="F91" s="10">
        <v>226</v>
      </c>
      <c r="G91" s="10"/>
      <c r="H91" s="29">
        <v>320700</v>
      </c>
      <c r="I91" s="14">
        <v>15000</v>
      </c>
      <c r="J91" s="14">
        <v>20000</v>
      </c>
      <c r="K91" s="14">
        <v>20000</v>
      </c>
      <c r="L91" s="14">
        <v>20500</v>
      </c>
      <c r="M91" s="14">
        <v>25000</v>
      </c>
      <c r="N91" s="14">
        <v>32000</v>
      </c>
      <c r="O91" s="14">
        <v>26000</v>
      </c>
      <c r="P91" s="14">
        <v>20000</v>
      </c>
      <c r="Q91" s="14">
        <v>26000</v>
      </c>
      <c r="R91" s="14">
        <v>30000</v>
      </c>
      <c r="S91" s="14">
        <v>30000</v>
      </c>
      <c r="T91" s="14">
        <v>56200</v>
      </c>
      <c r="U91" s="100"/>
      <c r="V91" s="15">
        <f t="shared" si="17"/>
        <v>320700</v>
      </c>
    </row>
    <row r="92" spans="1:22" ht="15" customHeight="1">
      <c r="A92" s="60"/>
      <c r="B92" s="67"/>
      <c r="C92" s="12"/>
      <c r="D92" s="12"/>
      <c r="E92" s="16"/>
      <c r="F92" s="16"/>
      <c r="G92" s="10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00"/>
      <c r="V92" s="15">
        <f t="shared" si="17"/>
        <v>0</v>
      </c>
    </row>
    <row r="93" spans="1:22" ht="98.25" customHeight="1">
      <c r="A93" s="62" t="s">
        <v>87</v>
      </c>
      <c r="B93" s="90" t="s">
        <v>112</v>
      </c>
      <c r="C93" s="37" t="s">
        <v>6</v>
      </c>
      <c r="D93" s="37">
        <v>5500000000</v>
      </c>
      <c r="E93" s="41"/>
      <c r="F93" s="41"/>
      <c r="G93" s="41"/>
      <c r="H93" s="13">
        <f aca="true" t="shared" si="19" ref="H93:T93">H94</f>
        <v>100000</v>
      </c>
      <c r="I93" s="13">
        <f t="shared" si="19"/>
        <v>0</v>
      </c>
      <c r="J93" s="13">
        <f t="shared" si="19"/>
        <v>0</v>
      </c>
      <c r="K93" s="13">
        <f t="shared" si="19"/>
        <v>16906</v>
      </c>
      <c r="L93" s="13">
        <f t="shared" si="19"/>
        <v>8000</v>
      </c>
      <c r="M93" s="13">
        <f t="shared" si="19"/>
        <v>0</v>
      </c>
      <c r="N93" s="13">
        <f t="shared" si="19"/>
        <v>27000</v>
      </c>
      <c r="O93" s="13">
        <f t="shared" si="19"/>
        <v>0</v>
      </c>
      <c r="P93" s="13">
        <f t="shared" si="19"/>
        <v>0</v>
      </c>
      <c r="Q93" s="13">
        <f t="shared" si="19"/>
        <v>13800</v>
      </c>
      <c r="R93" s="13">
        <f t="shared" si="19"/>
        <v>10540</v>
      </c>
      <c r="S93" s="13">
        <f t="shared" si="19"/>
        <v>0</v>
      </c>
      <c r="T93" s="13">
        <f t="shared" si="19"/>
        <v>23754</v>
      </c>
      <c r="U93" s="101"/>
      <c r="V93" s="87">
        <f t="shared" si="17"/>
        <v>100000</v>
      </c>
    </row>
    <row r="94" spans="1:22" ht="43.5" customHeight="1">
      <c r="A94" s="56" t="s">
        <v>87</v>
      </c>
      <c r="B94" s="48" t="s">
        <v>158</v>
      </c>
      <c r="C94" s="10" t="s">
        <v>6</v>
      </c>
      <c r="D94" s="10">
        <v>5510110930</v>
      </c>
      <c r="E94" s="10">
        <v>244</v>
      </c>
      <c r="F94" s="10">
        <v>290</v>
      </c>
      <c r="G94" s="10"/>
      <c r="H94" s="14">
        <v>100000</v>
      </c>
      <c r="I94" s="14">
        <v>0</v>
      </c>
      <c r="J94" s="14">
        <v>0</v>
      </c>
      <c r="K94" s="14">
        <f>10000+6906</f>
        <v>16906</v>
      </c>
      <c r="L94" s="14">
        <f>10000-2000</f>
        <v>8000</v>
      </c>
      <c r="M94" s="14">
        <v>0</v>
      </c>
      <c r="N94" s="14">
        <f>48434-21434</f>
        <v>27000</v>
      </c>
      <c r="O94" s="14">
        <v>0</v>
      </c>
      <c r="P94" s="14">
        <v>0</v>
      </c>
      <c r="Q94" s="14">
        <v>13800</v>
      </c>
      <c r="R94" s="14">
        <f>10000+2000-1460</f>
        <v>10540</v>
      </c>
      <c r="S94" s="14">
        <v>0</v>
      </c>
      <c r="T94" s="14">
        <v>23754</v>
      </c>
      <c r="U94" s="100"/>
      <c r="V94" s="15">
        <f t="shared" si="17"/>
        <v>100000</v>
      </c>
    </row>
    <row r="95" spans="1:22" ht="15" customHeight="1">
      <c r="A95" s="60"/>
      <c r="B95" s="67"/>
      <c r="C95" s="12"/>
      <c r="D95" s="12"/>
      <c r="E95" s="16"/>
      <c r="F95" s="16"/>
      <c r="G95" s="10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00"/>
      <c r="V95" s="15">
        <f t="shared" si="17"/>
        <v>0</v>
      </c>
    </row>
    <row r="96" spans="1:22" ht="96" customHeight="1">
      <c r="A96" s="62" t="s">
        <v>87</v>
      </c>
      <c r="B96" s="90" t="s">
        <v>113</v>
      </c>
      <c r="C96" s="37" t="s">
        <v>6</v>
      </c>
      <c r="D96" s="37">
        <v>5600000000</v>
      </c>
      <c r="E96" s="41"/>
      <c r="F96" s="41"/>
      <c r="G96" s="41"/>
      <c r="H96" s="13">
        <f aca="true" t="shared" si="20" ref="H96:T96">H97</f>
        <v>20000</v>
      </c>
      <c r="I96" s="13">
        <f t="shared" si="20"/>
        <v>0</v>
      </c>
      <c r="J96" s="13">
        <f t="shared" si="20"/>
        <v>0</v>
      </c>
      <c r="K96" s="13">
        <f t="shared" si="20"/>
        <v>0</v>
      </c>
      <c r="L96" s="13">
        <f t="shared" si="20"/>
        <v>0</v>
      </c>
      <c r="M96" s="13">
        <f t="shared" si="20"/>
        <v>0</v>
      </c>
      <c r="N96" s="13">
        <f t="shared" si="20"/>
        <v>0</v>
      </c>
      <c r="O96" s="13">
        <f t="shared" si="20"/>
        <v>0</v>
      </c>
      <c r="P96" s="13">
        <f t="shared" si="20"/>
        <v>0</v>
      </c>
      <c r="Q96" s="13">
        <f t="shared" si="20"/>
        <v>0</v>
      </c>
      <c r="R96" s="13">
        <f t="shared" si="20"/>
        <v>0</v>
      </c>
      <c r="S96" s="13">
        <f t="shared" si="20"/>
        <v>0</v>
      </c>
      <c r="T96" s="13">
        <f t="shared" si="20"/>
        <v>20000</v>
      </c>
      <c r="U96" s="101"/>
      <c r="V96" s="87">
        <f t="shared" si="17"/>
        <v>20000</v>
      </c>
    </row>
    <row r="97" spans="1:22" ht="33" customHeight="1">
      <c r="A97" s="56" t="s">
        <v>87</v>
      </c>
      <c r="B97" s="48" t="s">
        <v>157</v>
      </c>
      <c r="C97" s="10" t="s">
        <v>6</v>
      </c>
      <c r="D97" s="78" t="s">
        <v>142</v>
      </c>
      <c r="E97" s="10">
        <v>244</v>
      </c>
      <c r="F97" s="10">
        <v>290</v>
      </c>
      <c r="G97" s="10"/>
      <c r="H97" s="29">
        <v>20000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20000</v>
      </c>
      <c r="U97" s="100"/>
      <c r="V97" s="15">
        <f t="shared" si="17"/>
        <v>20000</v>
      </c>
    </row>
    <row r="98" spans="1:22" ht="15" customHeight="1">
      <c r="A98" s="56"/>
      <c r="B98" s="23"/>
      <c r="C98" s="10"/>
      <c r="D98" s="10"/>
      <c r="E98" s="10"/>
      <c r="F98" s="10"/>
      <c r="G98" s="10"/>
      <c r="H98" s="29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00"/>
      <c r="V98" s="15"/>
    </row>
    <row r="99" spans="1:22" s="85" customFormat="1" ht="142.5" customHeight="1">
      <c r="A99" s="62" t="s">
        <v>87</v>
      </c>
      <c r="B99" s="90" t="s">
        <v>192</v>
      </c>
      <c r="C99" s="37" t="s">
        <v>6</v>
      </c>
      <c r="D99" s="84" t="s">
        <v>148</v>
      </c>
      <c r="E99" s="37">
        <v>540</v>
      </c>
      <c r="F99" s="36"/>
      <c r="G99" s="37"/>
      <c r="H99" s="13">
        <v>31300</v>
      </c>
      <c r="I99" s="13">
        <v>6375</v>
      </c>
      <c r="J99" s="13">
        <v>0</v>
      </c>
      <c r="K99" s="13">
        <v>0</v>
      </c>
      <c r="L99" s="13">
        <f>6375+1900</f>
        <v>8275</v>
      </c>
      <c r="M99" s="13">
        <v>0</v>
      </c>
      <c r="N99" s="13">
        <v>0</v>
      </c>
      <c r="O99" s="13">
        <f>6375+8275</f>
        <v>14650</v>
      </c>
      <c r="P99" s="13">
        <v>0</v>
      </c>
      <c r="Q99" s="13">
        <v>0</v>
      </c>
      <c r="R99" s="13">
        <v>0</v>
      </c>
      <c r="S99" s="13">
        <v>0</v>
      </c>
      <c r="T99" s="13">
        <v>2000</v>
      </c>
      <c r="U99" s="101"/>
      <c r="V99" s="87">
        <f>SUM(I99:T99)</f>
        <v>31300</v>
      </c>
    </row>
    <row r="100" spans="1:22" s="85" customFormat="1" ht="15" customHeight="1">
      <c r="A100" s="116"/>
      <c r="B100" s="67"/>
      <c r="C100" s="31"/>
      <c r="D100" s="115"/>
      <c r="E100" s="31"/>
      <c r="F100" s="12"/>
      <c r="G100" s="31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101"/>
      <c r="V100" s="77"/>
    </row>
    <row r="101" spans="1:22" s="85" customFormat="1" ht="57.75" customHeight="1" hidden="1">
      <c r="A101" s="62" t="s">
        <v>87</v>
      </c>
      <c r="B101" s="90" t="s">
        <v>204</v>
      </c>
      <c r="C101" s="37" t="s">
        <v>6</v>
      </c>
      <c r="D101" s="84" t="s">
        <v>199</v>
      </c>
      <c r="E101" s="37">
        <v>853</v>
      </c>
      <c r="F101" s="36"/>
      <c r="G101" s="37"/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01"/>
      <c r="V101" s="87">
        <f>I101+J101+K101+L101+M101+N101+O101+P101+Q101+R101+S101+T101</f>
        <v>0</v>
      </c>
    </row>
    <row r="102" spans="1:22" ht="12.75">
      <c r="A102" s="56"/>
      <c r="B102" s="23"/>
      <c r="C102" s="16"/>
      <c r="D102" s="16"/>
      <c r="E102" s="16"/>
      <c r="F102" s="16"/>
      <c r="G102" s="10"/>
      <c r="H102" s="29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00"/>
      <c r="V102" s="15"/>
    </row>
    <row r="103" spans="1:22" ht="12.75">
      <c r="A103" s="56"/>
      <c r="B103" s="25" t="s">
        <v>45</v>
      </c>
      <c r="C103" s="25" t="s">
        <v>6</v>
      </c>
      <c r="D103" s="16"/>
      <c r="E103" s="16"/>
      <c r="F103" s="16"/>
      <c r="G103" s="10"/>
      <c r="H103" s="30">
        <f aca="true" t="shared" si="21" ref="H103:T103">H96+H93+H84+H71+H46+H44+H99+H101</f>
        <v>15335800</v>
      </c>
      <c r="I103" s="30">
        <f t="shared" si="21"/>
        <v>440942</v>
      </c>
      <c r="J103" s="30">
        <f t="shared" si="21"/>
        <v>1073709</v>
      </c>
      <c r="K103" s="30">
        <f t="shared" si="21"/>
        <v>1167762.72</v>
      </c>
      <c r="L103" s="30">
        <f t="shared" si="21"/>
        <v>1367273.7</v>
      </c>
      <c r="M103" s="30">
        <f t="shared" si="21"/>
        <v>1174392.37</v>
      </c>
      <c r="N103" s="30">
        <f t="shared" si="21"/>
        <v>1429371</v>
      </c>
      <c r="O103" s="30">
        <f t="shared" si="21"/>
        <v>1203633</v>
      </c>
      <c r="P103" s="30">
        <f t="shared" si="21"/>
        <v>1263330.77</v>
      </c>
      <c r="Q103" s="30">
        <f t="shared" si="21"/>
        <v>1189104.35</v>
      </c>
      <c r="R103" s="30">
        <f t="shared" si="21"/>
        <v>1412020.0899999999</v>
      </c>
      <c r="S103" s="30">
        <f t="shared" si="21"/>
        <v>1356527.6800000002</v>
      </c>
      <c r="T103" s="30">
        <f t="shared" si="21"/>
        <v>2257733.3200000003</v>
      </c>
      <c r="U103" s="97"/>
      <c r="V103" s="97">
        <f>V96+V93+V84+V71+V46+V99+V101</f>
        <v>15335800</v>
      </c>
    </row>
    <row r="104" spans="1:22" ht="12.75">
      <c r="A104" s="56"/>
      <c r="B104" s="25"/>
      <c r="C104" s="25"/>
      <c r="D104" s="16"/>
      <c r="E104" s="16"/>
      <c r="F104" s="16"/>
      <c r="G104" s="1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97"/>
      <c r="V104" s="97"/>
    </row>
    <row r="105" spans="1:22" ht="26.25" customHeight="1">
      <c r="A105" s="66"/>
      <c r="B105" s="92" t="s">
        <v>54</v>
      </c>
      <c r="C105" s="68"/>
      <c r="D105" s="68"/>
      <c r="E105" s="68"/>
      <c r="F105" s="68"/>
      <c r="G105" s="92"/>
      <c r="H105" s="42">
        <f aca="true" t="shared" si="22" ref="H105:T105">H103+H43+H39+H34+H12</f>
        <v>24751200</v>
      </c>
      <c r="I105" s="42">
        <f t="shared" si="22"/>
        <v>787468.24</v>
      </c>
      <c r="J105" s="42">
        <f t="shared" si="22"/>
        <v>1845192.78</v>
      </c>
      <c r="K105" s="42">
        <f t="shared" si="22"/>
        <v>1922476.25</v>
      </c>
      <c r="L105" s="42">
        <f t="shared" si="22"/>
        <v>2104828.9099999997</v>
      </c>
      <c r="M105" s="42">
        <f t="shared" si="22"/>
        <v>1849163.6300000001</v>
      </c>
      <c r="N105" s="42">
        <f t="shared" si="22"/>
        <v>2137209.03</v>
      </c>
      <c r="O105" s="42">
        <f t="shared" si="22"/>
        <v>2112015.9499999997</v>
      </c>
      <c r="P105" s="42">
        <f t="shared" si="22"/>
        <v>1894455.04</v>
      </c>
      <c r="Q105" s="42">
        <f t="shared" si="22"/>
        <v>1864911.6800000002</v>
      </c>
      <c r="R105" s="42">
        <f t="shared" si="22"/>
        <v>2294500.5799999996</v>
      </c>
      <c r="S105" s="42">
        <f t="shared" si="22"/>
        <v>2123643.97</v>
      </c>
      <c r="T105" s="42">
        <f t="shared" si="22"/>
        <v>3815333.9400000004</v>
      </c>
      <c r="U105" s="54"/>
      <c r="V105" s="98">
        <f>V103+V43+V39+V34+V12</f>
        <v>24751200</v>
      </c>
    </row>
    <row r="106" spans="1:22" ht="12.75">
      <c r="A106" s="60"/>
      <c r="B106" s="43"/>
      <c r="C106" s="12"/>
      <c r="D106" s="12"/>
      <c r="E106" s="12"/>
      <c r="F106" s="12"/>
      <c r="G106" s="4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103"/>
      <c r="V106" s="15"/>
    </row>
    <row r="107" spans="1:22" ht="51.75" customHeight="1">
      <c r="A107" s="62" t="s">
        <v>87</v>
      </c>
      <c r="B107" s="90" t="s">
        <v>55</v>
      </c>
      <c r="C107" s="37" t="s">
        <v>18</v>
      </c>
      <c r="D107" s="37">
        <v>8600000000</v>
      </c>
      <c r="E107" s="36"/>
      <c r="F107" s="36"/>
      <c r="G107" s="31"/>
      <c r="H107" s="13">
        <f aca="true" t="shared" si="23" ref="H107:T107">H108+H109</f>
        <v>593100</v>
      </c>
      <c r="I107" s="13">
        <f t="shared" si="23"/>
        <v>14100</v>
      </c>
      <c r="J107" s="13">
        <f t="shared" si="23"/>
        <v>38500</v>
      </c>
      <c r="K107" s="13">
        <f t="shared" si="23"/>
        <v>65630</v>
      </c>
      <c r="L107" s="13">
        <f t="shared" si="23"/>
        <v>43500</v>
      </c>
      <c r="M107" s="13">
        <f t="shared" si="23"/>
        <v>39700</v>
      </c>
      <c r="N107" s="13">
        <f t="shared" si="23"/>
        <v>70100</v>
      </c>
      <c r="O107" s="13">
        <f t="shared" si="23"/>
        <v>43500</v>
      </c>
      <c r="P107" s="13">
        <f t="shared" si="23"/>
        <v>47000</v>
      </c>
      <c r="Q107" s="13">
        <f t="shared" si="23"/>
        <v>68000</v>
      </c>
      <c r="R107" s="13">
        <f t="shared" si="23"/>
        <v>45500</v>
      </c>
      <c r="S107" s="13">
        <f t="shared" si="23"/>
        <v>36100</v>
      </c>
      <c r="T107" s="13">
        <f t="shared" si="23"/>
        <v>81470</v>
      </c>
      <c r="U107" s="101"/>
      <c r="V107" s="87">
        <f aca="true" t="shared" si="24" ref="V107:V126">SUM(I107:T107)</f>
        <v>593100</v>
      </c>
    </row>
    <row r="108" spans="1:22" ht="51" customHeight="1">
      <c r="A108" s="56" t="s">
        <v>87</v>
      </c>
      <c r="B108" s="48" t="s">
        <v>155</v>
      </c>
      <c r="C108" s="10" t="s">
        <v>18</v>
      </c>
      <c r="D108" s="78" t="s">
        <v>143</v>
      </c>
      <c r="E108" s="10">
        <v>121</v>
      </c>
      <c r="F108" s="10">
        <v>211</v>
      </c>
      <c r="G108" s="10" t="s">
        <v>56</v>
      </c>
      <c r="H108" s="24">
        <v>455530</v>
      </c>
      <c r="I108" s="14">
        <v>14100</v>
      </c>
      <c r="J108" s="14">
        <v>28500</v>
      </c>
      <c r="K108" s="14">
        <v>47130</v>
      </c>
      <c r="L108" s="14">
        <v>34000</v>
      </c>
      <c r="M108" s="14">
        <v>30200</v>
      </c>
      <c r="N108" s="14">
        <v>49800</v>
      </c>
      <c r="O108" s="14">
        <v>36500</v>
      </c>
      <c r="P108" s="14">
        <v>37500</v>
      </c>
      <c r="Q108" s="14">
        <v>50000</v>
      </c>
      <c r="R108" s="14">
        <v>36500</v>
      </c>
      <c r="S108" s="14">
        <v>30800</v>
      </c>
      <c r="T108" s="14">
        <v>60500</v>
      </c>
      <c r="U108" s="100"/>
      <c r="V108" s="15">
        <f t="shared" si="24"/>
        <v>455530</v>
      </c>
    </row>
    <row r="109" spans="1:22" ht="92.25" customHeight="1">
      <c r="A109" s="56" t="s">
        <v>87</v>
      </c>
      <c r="B109" s="48" t="s">
        <v>156</v>
      </c>
      <c r="C109" s="10" t="s">
        <v>18</v>
      </c>
      <c r="D109" s="78" t="s">
        <v>143</v>
      </c>
      <c r="E109" s="10">
        <v>129</v>
      </c>
      <c r="F109" s="10">
        <v>211</v>
      </c>
      <c r="G109" s="63" t="s">
        <v>57</v>
      </c>
      <c r="H109" s="24">
        <v>137570</v>
      </c>
      <c r="I109" s="14">
        <v>0</v>
      </c>
      <c r="J109" s="14">
        <v>10000</v>
      </c>
      <c r="K109" s="14">
        <v>18500</v>
      </c>
      <c r="L109" s="14">
        <v>9500</v>
      </c>
      <c r="M109" s="14">
        <v>9500</v>
      </c>
      <c r="N109" s="14">
        <v>20300</v>
      </c>
      <c r="O109" s="14">
        <v>7000</v>
      </c>
      <c r="P109" s="14">
        <v>9500</v>
      </c>
      <c r="Q109" s="14">
        <v>18000</v>
      </c>
      <c r="R109" s="14">
        <v>9000</v>
      </c>
      <c r="S109" s="14">
        <v>5300</v>
      </c>
      <c r="T109" s="14">
        <v>20970</v>
      </c>
      <c r="U109" s="100"/>
      <c r="V109" s="15">
        <f t="shared" si="24"/>
        <v>137570</v>
      </c>
    </row>
    <row r="110" spans="1:22" ht="12.75">
      <c r="A110" s="60"/>
      <c r="B110" s="31"/>
      <c r="C110" s="16"/>
      <c r="D110" s="16"/>
      <c r="E110" s="16"/>
      <c r="F110" s="16"/>
      <c r="G110" s="10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00"/>
      <c r="V110" s="15">
        <f t="shared" si="24"/>
        <v>0</v>
      </c>
    </row>
    <row r="111" spans="1:22" s="3" customFormat="1" ht="12.75">
      <c r="A111" s="60"/>
      <c r="B111" s="61" t="s">
        <v>45</v>
      </c>
      <c r="C111" s="61" t="s">
        <v>18</v>
      </c>
      <c r="D111" s="16"/>
      <c r="E111" s="16"/>
      <c r="F111" s="16"/>
      <c r="G111" s="10"/>
      <c r="H111" s="30">
        <f aca="true" t="shared" si="25" ref="H111:T111">H107</f>
        <v>593100</v>
      </c>
      <c r="I111" s="30">
        <f t="shared" si="25"/>
        <v>14100</v>
      </c>
      <c r="J111" s="30">
        <f t="shared" si="25"/>
        <v>38500</v>
      </c>
      <c r="K111" s="30">
        <f t="shared" si="25"/>
        <v>65630</v>
      </c>
      <c r="L111" s="30">
        <f t="shared" si="25"/>
        <v>43500</v>
      </c>
      <c r="M111" s="30">
        <f t="shared" si="25"/>
        <v>39700</v>
      </c>
      <c r="N111" s="30">
        <f t="shared" si="25"/>
        <v>70100</v>
      </c>
      <c r="O111" s="30">
        <f t="shared" si="25"/>
        <v>43500</v>
      </c>
      <c r="P111" s="30">
        <f t="shared" si="25"/>
        <v>47000</v>
      </c>
      <c r="Q111" s="30">
        <f t="shared" si="25"/>
        <v>68000</v>
      </c>
      <c r="R111" s="30">
        <f t="shared" si="25"/>
        <v>45500</v>
      </c>
      <c r="S111" s="30">
        <f t="shared" si="25"/>
        <v>36100</v>
      </c>
      <c r="T111" s="30">
        <f t="shared" si="25"/>
        <v>81470</v>
      </c>
      <c r="U111" s="102"/>
      <c r="V111" s="86">
        <f t="shared" si="24"/>
        <v>593100</v>
      </c>
    </row>
    <row r="112" spans="1:22" ht="12.75">
      <c r="A112" s="60"/>
      <c r="B112" s="31"/>
      <c r="C112" s="16"/>
      <c r="D112" s="16"/>
      <c r="E112" s="16"/>
      <c r="F112" s="16"/>
      <c r="G112" s="10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00"/>
      <c r="V112" s="15">
        <f t="shared" si="24"/>
        <v>0</v>
      </c>
    </row>
    <row r="113" spans="1:22" ht="12.75">
      <c r="A113" s="66"/>
      <c r="B113" s="92" t="s">
        <v>58</v>
      </c>
      <c r="C113" s="44"/>
      <c r="D113" s="44"/>
      <c r="E113" s="44"/>
      <c r="F113" s="44"/>
      <c r="G113" s="45"/>
      <c r="H113" s="42">
        <f aca="true" t="shared" si="26" ref="H113:T113">H111</f>
        <v>593100</v>
      </c>
      <c r="I113" s="42">
        <f t="shared" si="26"/>
        <v>14100</v>
      </c>
      <c r="J113" s="42">
        <f t="shared" si="26"/>
        <v>38500</v>
      </c>
      <c r="K113" s="42">
        <f t="shared" si="26"/>
        <v>65630</v>
      </c>
      <c r="L113" s="42">
        <f t="shared" si="26"/>
        <v>43500</v>
      </c>
      <c r="M113" s="42">
        <f t="shared" si="26"/>
        <v>39700</v>
      </c>
      <c r="N113" s="42">
        <f t="shared" si="26"/>
        <v>70100</v>
      </c>
      <c r="O113" s="42">
        <f t="shared" si="26"/>
        <v>43500</v>
      </c>
      <c r="P113" s="42">
        <f t="shared" si="26"/>
        <v>47000</v>
      </c>
      <c r="Q113" s="42">
        <f t="shared" si="26"/>
        <v>68000</v>
      </c>
      <c r="R113" s="42">
        <f t="shared" si="26"/>
        <v>45500</v>
      </c>
      <c r="S113" s="42">
        <f t="shared" si="26"/>
        <v>36100</v>
      </c>
      <c r="T113" s="42">
        <f t="shared" si="26"/>
        <v>81470</v>
      </c>
      <c r="U113" s="104"/>
      <c r="V113" s="46">
        <f t="shared" si="24"/>
        <v>593100</v>
      </c>
    </row>
    <row r="114" spans="1:22" ht="12.75">
      <c r="A114" s="60"/>
      <c r="B114" s="43"/>
      <c r="C114" s="16"/>
      <c r="D114" s="16"/>
      <c r="E114" s="16"/>
      <c r="F114" s="16"/>
      <c r="G114" s="10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00"/>
      <c r="V114" s="15">
        <f t="shared" si="24"/>
        <v>0</v>
      </c>
    </row>
    <row r="115" spans="1:22" ht="79.5" customHeight="1">
      <c r="A115" s="62" t="s">
        <v>87</v>
      </c>
      <c r="B115" s="90" t="s">
        <v>114</v>
      </c>
      <c r="C115" s="37"/>
      <c r="D115" s="37">
        <v>5700000000</v>
      </c>
      <c r="E115" s="36"/>
      <c r="F115" s="36"/>
      <c r="G115" s="37"/>
      <c r="H115" s="13">
        <f aca="true" t="shared" si="27" ref="H115:T115">H117+H122+H125</f>
        <v>290900</v>
      </c>
      <c r="I115" s="13">
        <f t="shared" si="27"/>
        <v>0</v>
      </c>
      <c r="J115" s="13">
        <f t="shared" si="27"/>
        <v>0</v>
      </c>
      <c r="K115" s="13">
        <f t="shared" si="27"/>
        <v>20400</v>
      </c>
      <c r="L115" s="13">
        <f t="shared" si="27"/>
        <v>8874</v>
      </c>
      <c r="M115" s="13">
        <f t="shared" si="27"/>
        <v>70026</v>
      </c>
      <c r="N115" s="13">
        <f t="shared" si="27"/>
        <v>10200</v>
      </c>
      <c r="O115" s="13">
        <f t="shared" si="27"/>
        <v>10200</v>
      </c>
      <c r="P115" s="13">
        <f t="shared" si="27"/>
        <v>10200</v>
      </c>
      <c r="Q115" s="13">
        <f t="shared" si="27"/>
        <v>60200</v>
      </c>
      <c r="R115" s="13">
        <f t="shared" si="27"/>
        <v>8874</v>
      </c>
      <c r="S115" s="13">
        <f t="shared" si="27"/>
        <v>11526</v>
      </c>
      <c r="T115" s="13">
        <f t="shared" si="27"/>
        <v>80400</v>
      </c>
      <c r="U115" s="101"/>
      <c r="V115" s="87">
        <f t="shared" si="24"/>
        <v>290900</v>
      </c>
    </row>
    <row r="116" spans="1:22" ht="12.75">
      <c r="A116" s="60"/>
      <c r="B116" s="43"/>
      <c r="C116" s="16"/>
      <c r="D116" s="16"/>
      <c r="E116" s="16"/>
      <c r="F116" s="16"/>
      <c r="G116" s="10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00"/>
      <c r="V116" s="15">
        <f t="shared" si="24"/>
        <v>0</v>
      </c>
    </row>
    <row r="117" spans="1:22" s="3" customFormat="1" ht="95.25" customHeight="1">
      <c r="A117" s="62" t="s">
        <v>87</v>
      </c>
      <c r="B117" s="90" t="s">
        <v>144</v>
      </c>
      <c r="C117" s="41" t="s">
        <v>115</v>
      </c>
      <c r="D117" s="37">
        <v>5710000000</v>
      </c>
      <c r="E117" s="37"/>
      <c r="F117" s="37"/>
      <c r="G117" s="37"/>
      <c r="H117" s="13">
        <f aca="true" t="shared" si="28" ref="H117:T117">H118</f>
        <v>10000</v>
      </c>
      <c r="I117" s="13">
        <f t="shared" si="28"/>
        <v>0</v>
      </c>
      <c r="J117" s="13">
        <f t="shared" si="28"/>
        <v>0</v>
      </c>
      <c r="K117" s="13">
        <f t="shared" si="28"/>
        <v>0</v>
      </c>
      <c r="L117" s="13">
        <f t="shared" si="28"/>
        <v>0</v>
      </c>
      <c r="M117" s="13">
        <f t="shared" si="28"/>
        <v>0</v>
      </c>
      <c r="N117" s="13">
        <f t="shared" si="28"/>
        <v>0</v>
      </c>
      <c r="O117" s="13">
        <f t="shared" si="28"/>
        <v>0</v>
      </c>
      <c r="P117" s="13">
        <f t="shared" si="28"/>
        <v>0</v>
      </c>
      <c r="Q117" s="13">
        <f t="shared" si="28"/>
        <v>0</v>
      </c>
      <c r="R117" s="13">
        <f t="shared" si="28"/>
        <v>0</v>
      </c>
      <c r="S117" s="13">
        <f t="shared" si="28"/>
        <v>0</v>
      </c>
      <c r="T117" s="13">
        <f t="shared" si="28"/>
        <v>10000</v>
      </c>
      <c r="U117" s="101"/>
      <c r="V117" s="87">
        <f t="shared" si="24"/>
        <v>10000</v>
      </c>
    </row>
    <row r="118" spans="1:22" ht="25.5">
      <c r="A118" s="60" t="s">
        <v>87</v>
      </c>
      <c r="B118" s="48" t="s">
        <v>157</v>
      </c>
      <c r="C118" s="10" t="s">
        <v>115</v>
      </c>
      <c r="D118" s="10">
        <v>5710110080</v>
      </c>
      <c r="E118" s="10">
        <v>244</v>
      </c>
      <c r="F118" s="10">
        <v>226</v>
      </c>
      <c r="G118" s="10"/>
      <c r="H118" s="14">
        <v>10000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10000</v>
      </c>
      <c r="U118" s="100"/>
      <c r="V118" s="15">
        <f t="shared" si="24"/>
        <v>10000</v>
      </c>
    </row>
    <row r="119" spans="1:22" ht="12.75">
      <c r="A119" s="60"/>
      <c r="B119" s="43"/>
      <c r="C119" s="16"/>
      <c r="D119" s="16"/>
      <c r="E119" s="16"/>
      <c r="F119" s="16"/>
      <c r="G119" s="10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00"/>
      <c r="V119" s="15">
        <f t="shared" si="24"/>
        <v>0</v>
      </c>
    </row>
    <row r="120" spans="1:22" ht="12.75">
      <c r="A120" s="60"/>
      <c r="B120" s="25" t="s">
        <v>45</v>
      </c>
      <c r="C120" s="25" t="s">
        <v>115</v>
      </c>
      <c r="D120" s="16"/>
      <c r="E120" s="16"/>
      <c r="F120" s="16"/>
      <c r="G120" s="10"/>
      <c r="H120" s="30">
        <f aca="true" t="shared" si="29" ref="H120:T120">H117</f>
        <v>10000</v>
      </c>
      <c r="I120" s="30">
        <f t="shared" si="29"/>
        <v>0</v>
      </c>
      <c r="J120" s="30">
        <f t="shared" si="29"/>
        <v>0</v>
      </c>
      <c r="K120" s="30">
        <f t="shared" si="29"/>
        <v>0</v>
      </c>
      <c r="L120" s="30">
        <f t="shared" si="29"/>
        <v>0</v>
      </c>
      <c r="M120" s="30">
        <f t="shared" si="29"/>
        <v>0</v>
      </c>
      <c r="N120" s="30">
        <f t="shared" si="29"/>
        <v>0</v>
      </c>
      <c r="O120" s="30">
        <f t="shared" si="29"/>
        <v>0</v>
      </c>
      <c r="P120" s="30">
        <f t="shared" si="29"/>
        <v>0</v>
      </c>
      <c r="Q120" s="30">
        <f t="shared" si="29"/>
        <v>0</v>
      </c>
      <c r="R120" s="30">
        <f t="shared" si="29"/>
        <v>0</v>
      </c>
      <c r="S120" s="30">
        <f t="shared" si="29"/>
        <v>0</v>
      </c>
      <c r="T120" s="30">
        <f t="shared" si="29"/>
        <v>10000</v>
      </c>
      <c r="U120" s="102"/>
      <c r="V120" s="47">
        <f t="shared" si="24"/>
        <v>10000</v>
      </c>
    </row>
    <row r="121" spans="1:22" ht="12.75">
      <c r="A121" s="60"/>
      <c r="B121" s="43"/>
      <c r="C121" s="16"/>
      <c r="D121" s="16"/>
      <c r="E121" s="16"/>
      <c r="F121" s="16"/>
      <c r="G121" s="10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00"/>
      <c r="V121" s="15">
        <f t="shared" si="24"/>
        <v>0</v>
      </c>
    </row>
    <row r="122" spans="1:22" s="3" customFormat="1" ht="81" customHeight="1">
      <c r="A122" s="62" t="s">
        <v>87</v>
      </c>
      <c r="B122" s="90" t="s">
        <v>116</v>
      </c>
      <c r="C122" s="37" t="s">
        <v>19</v>
      </c>
      <c r="D122" s="37">
        <v>5720000000</v>
      </c>
      <c r="E122" s="37"/>
      <c r="F122" s="37"/>
      <c r="G122" s="37"/>
      <c r="H122" s="13">
        <f aca="true" t="shared" si="30" ref="H122:T122">H123+H124</f>
        <v>158500</v>
      </c>
      <c r="I122" s="13">
        <f t="shared" si="30"/>
        <v>0</v>
      </c>
      <c r="J122" s="13">
        <f t="shared" si="30"/>
        <v>0</v>
      </c>
      <c r="K122" s="13">
        <f t="shared" si="30"/>
        <v>0</v>
      </c>
      <c r="L122" s="13">
        <f t="shared" si="30"/>
        <v>0</v>
      </c>
      <c r="M122" s="13">
        <f t="shared" si="30"/>
        <v>58500</v>
      </c>
      <c r="N122" s="13">
        <f t="shared" si="30"/>
        <v>0</v>
      </c>
      <c r="O122" s="13">
        <f t="shared" si="30"/>
        <v>0</v>
      </c>
      <c r="P122" s="13">
        <f t="shared" si="30"/>
        <v>0</v>
      </c>
      <c r="Q122" s="13">
        <f t="shared" si="30"/>
        <v>50000</v>
      </c>
      <c r="R122" s="13">
        <f t="shared" si="30"/>
        <v>0</v>
      </c>
      <c r="S122" s="13">
        <f t="shared" si="30"/>
        <v>0</v>
      </c>
      <c r="T122" s="13">
        <f t="shared" si="30"/>
        <v>50000</v>
      </c>
      <c r="U122" s="101"/>
      <c r="V122" s="87">
        <f t="shared" si="24"/>
        <v>158500</v>
      </c>
    </row>
    <row r="123" spans="1:22" ht="25.5" hidden="1">
      <c r="A123" s="56" t="s">
        <v>87</v>
      </c>
      <c r="B123" s="48" t="s">
        <v>157</v>
      </c>
      <c r="C123" s="10" t="s">
        <v>19</v>
      </c>
      <c r="D123" s="10">
        <v>5720110090</v>
      </c>
      <c r="E123" s="10">
        <v>244</v>
      </c>
      <c r="F123" s="10">
        <v>226</v>
      </c>
      <c r="G123" s="10"/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00"/>
      <c r="V123" s="15">
        <f t="shared" si="24"/>
        <v>0</v>
      </c>
    </row>
    <row r="124" spans="1:22" ht="38.25">
      <c r="A124" s="60" t="s">
        <v>87</v>
      </c>
      <c r="B124" s="48" t="s">
        <v>158</v>
      </c>
      <c r="C124" s="10" t="s">
        <v>19</v>
      </c>
      <c r="D124" s="10">
        <v>5720110090</v>
      </c>
      <c r="E124" s="10">
        <v>244</v>
      </c>
      <c r="F124" s="10">
        <v>340</v>
      </c>
      <c r="G124" s="10"/>
      <c r="H124" s="14">
        <v>158500</v>
      </c>
      <c r="I124" s="14">
        <v>0</v>
      </c>
      <c r="J124" s="14">
        <v>0</v>
      </c>
      <c r="K124" s="14">
        <v>0</v>
      </c>
      <c r="L124" s="14">
        <v>0</v>
      </c>
      <c r="M124" s="14">
        <v>58500</v>
      </c>
      <c r="N124" s="14">
        <v>0</v>
      </c>
      <c r="O124" s="14">
        <v>0</v>
      </c>
      <c r="P124" s="14">
        <v>0</v>
      </c>
      <c r="Q124" s="14">
        <v>50000</v>
      </c>
      <c r="R124" s="14">
        <v>0</v>
      </c>
      <c r="S124" s="14">
        <v>0</v>
      </c>
      <c r="T124" s="14">
        <v>50000</v>
      </c>
      <c r="U124" s="100"/>
      <c r="V124" s="15">
        <f t="shared" si="24"/>
        <v>158500</v>
      </c>
    </row>
    <row r="125" spans="1:22" s="3" customFormat="1" ht="92.25" customHeight="1">
      <c r="A125" s="62" t="s">
        <v>87</v>
      </c>
      <c r="B125" s="90" t="s">
        <v>117</v>
      </c>
      <c r="C125" s="37" t="s">
        <v>19</v>
      </c>
      <c r="D125" s="37">
        <v>5730000000</v>
      </c>
      <c r="E125" s="37"/>
      <c r="F125" s="37"/>
      <c r="G125" s="13"/>
      <c r="H125" s="13">
        <f aca="true" t="shared" si="31" ref="H125:T125">H126</f>
        <v>122400</v>
      </c>
      <c r="I125" s="13">
        <f t="shared" si="31"/>
        <v>0</v>
      </c>
      <c r="J125" s="13">
        <f t="shared" si="31"/>
        <v>0</v>
      </c>
      <c r="K125" s="13">
        <f t="shared" si="31"/>
        <v>20400</v>
      </c>
      <c r="L125" s="13">
        <f t="shared" si="31"/>
        <v>8874</v>
      </c>
      <c r="M125" s="13">
        <f t="shared" si="31"/>
        <v>11526</v>
      </c>
      <c r="N125" s="13">
        <f t="shared" si="31"/>
        <v>10200</v>
      </c>
      <c r="O125" s="13">
        <f t="shared" si="31"/>
        <v>10200</v>
      </c>
      <c r="P125" s="13">
        <f t="shared" si="31"/>
        <v>10200</v>
      </c>
      <c r="Q125" s="13">
        <f t="shared" si="31"/>
        <v>10200</v>
      </c>
      <c r="R125" s="13">
        <f t="shared" si="31"/>
        <v>8874</v>
      </c>
      <c r="S125" s="13">
        <f t="shared" si="31"/>
        <v>11526</v>
      </c>
      <c r="T125" s="13">
        <f t="shared" si="31"/>
        <v>20400</v>
      </c>
      <c r="U125" s="101"/>
      <c r="V125" s="87">
        <f t="shared" si="24"/>
        <v>122400</v>
      </c>
    </row>
    <row r="126" spans="1:22" ht="101.25" customHeight="1">
      <c r="A126" s="56" t="s">
        <v>87</v>
      </c>
      <c r="B126" s="48" t="s">
        <v>174</v>
      </c>
      <c r="C126" s="10" t="s">
        <v>19</v>
      </c>
      <c r="D126" s="10">
        <v>5730110100</v>
      </c>
      <c r="E126" s="10">
        <v>123</v>
      </c>
      <c r="F126" s="10">
        <v>296</v>
      </c>
      <c r="G126" s="14"/>
      <c r="H126" s="14">
        <v>122400</v>
      </c>
      <c r="I126" s="14">
        <v>0</v>
      </c>
      <c r="J126" s="14">
        <v>0</v>
      </c>
      <c r="K126" s="14">
        <v>20400</v>
      </c>
      <c r="L126" s="14">
        <f>30600-20400-1326</f>
        <v>8874</v>
      </c>
      <c r="M126" s="14">
        <f>1326+10200</f>
        <v>11526</v>
      </c>
      <c r="N126" s="14">
        <f>30600-20400</f>
        <v>10200</v>
      </c>
      <c r="O126" s="14">
        <v>10200</v>
      </c>
      <c r="P126" s="14">
        <v>10200</v>
      </c>
      <c r="Q126" s="14">
        <v>10200</v>
      </c>
      <c r="R126" s="14">
        <f>30600-10200-11526</f>
        <v>8874</v>
      </c>
      <c r="S126" s="14">
        <f>20400-10200+11526-10200</f>
        <v>11526</v>
      </c>
      <c r="T126" s="14">
        <f>30600-10200-10200+10200</f>
        <v>20400</v>
      </c>
      <c r="U126" s="100"/>
      <c r="V126" s="15">
        <f t="shared" si="24"/>
        <v>122400</v>
      </c>
    </row>
    <row r="127" spans="1:22" ht="12.75">
      <c r="A127" s="56"/>
      <c r="B127" s="48"/>
      <c r="C127" s="10"/>
      <c r="D127" s="10"/>
      <c r="E127" s="10"/>
      <c r="F127" s="10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00"/>
      <c r="V127" s="15"/>
    </row>
    <row r="128" spans="1:22" ht="12.75">
      <c r="A128" s="56"/>
      <c r="B128" s="25" t="s">
        <v>45</v>
      </c>
      <c r="C128" s="61" t="s">
        <v>19</v>
      </c>
      <c r="D128" s="61"/>
      <c r="E128" s="61"/>
      <c r="F128" s="61"/>
      <c r="G128" s="30"/>
      <c r="H128" s="30">
        <f aca="true" t="shared" si="32" ref="H128:T128">H122+H125</f>
        <v>280900</v>
      </c>
      <c r="I128" s="30">
        <f t="shared" si="32"/>
        <v>0</v>
      </c>
      <c r="J128" s="30">
        <f t="shared" si="32"/>
        <v>0</v>
      </c>
      <c r="K128" s="30">
        <f t="shared" si="32"/>
        <v>20400</v>
      </c>
      <c r="L128" s="30">
        <f t="shared" si="32"/>
        <v>8874</v>
      </c>
      <c r="M128" s="30">
        <f t="shared" si="32"/>
        <v>70026</v>
      </c>
      <c r="N128" s="30">
        <f t="shared" si="32"/>
        <v>10200</v>
      </c>
      <c r="O128" s="30">
        <f t="shared" si="32"/>
        <v>10200</v>
      </c>
      <c r="P128" s="30">
        <f t="shared" si="32"/>
        <v>10200</v>
      </c>
      <c r="Q128" s="30">
        <f t="shared" si="32"/>
        <v>60200</v>
      </c>
      <c r="R128" s="30">
        <f t="shared" si="32"/>
        <v>8874</v>
      </c>
      <c r="S128" s="30">
        <f t="shared" si="32"/>
        <v>11526</v>
      </c>
      <c r="T128" s="30">
        <f t="shared" si="32"/>
        <v>70400</v>
      </c>
      <c r="U128" s="102"/>
      <c r="V128" s="86">
        <f>SUM(I128:T128)</f>
        <v>280900</v>
      </c>
    </row>
    <row r="129" spans="1:22" ht="12.75">
      <c r="A129" s="56"/>
      <c r="B129" s="23"/>
      <c r="C129" s="16"/>
      <c r="D129" s="16"/>
      <c r="E129" s="16"/>
      <c r="F129" s="16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00"/>
      <c r="V129" s="15">
        <f>SUM(I129:T129)</f>
        <v>0</v>
      </c>
    </row>
    <row r="130" spans="1:22" ht="12.75">
      <c r="A130" s="66"/>
      <c r="B130" s="92" t="s">
        <v>59</v>
      </c>
      <c r="C130" s="44"/>
      <c r="D130" s="44"/>
      <c r="E130" s="44"/>
      <c r="F130" s="44"/>
      <c r="G130" s="49"/>
      <c r="H130" s="42">
        <f aca="true" t="shared" si="33" ref="H130:T130">H120+H128</f>
        <v>290900</v>
      </c>
      <c r="I130" s="42">
        <f t="shared" si="33"/>
        <v>0</v>
      </c>
      <c r="J130" s="42">
        <f t="shared" si="33"/>
        <v>0</v>
      </c>
      <c r="K130" s="42">
        <f t="shared" si="33"/>
        <v>20400</v>
      </c>
      <c r="L130" s="42">
        <f t="shared" si="33"/>
        <v>8874</v>
      </c>
      <c r="M130" s="42">
        <f t="shared" si="33"/>
        <v>70026</v>
      </c>
      <c r="N130" s="42">
        <f t="shared" si="33"/>
        <v>10200</v>
      </c>
      <c r="O130" s="42">
        <f t="shared" si="33"/>
        <v>10200</v>
      </c>
      <c r="P130" s="42">
        <f t="shared" si="33"/>
        <v>10200</v>
      </c>
      <c r="Q130" s="42">
        <f t="shared" si="33"/>
        <v>60200</v>
      </c>
      <c r="R130" s="42">
        <f t="shared" si="33"/>
        <v>8874</v>
      </c>
      <c r="S130" s="42">
        <f t="shared" si="33"/>
        <v>11526</v>
      </c>
      <c r="T130" s="42">
        <f t="shared" si="33"/>
        <v>80400</v>
      </c>
      <c r="U130" s="104"/>
      <c r="V130" s="50">
        <f>SUM(I130:T130)</f>
        <v>290900</v>
      </c>
    </row>
    <row r="131" spans="1:22" ht="12.75">
      <c r="A131" s="56"/>
      <c r="B131" s="23"/>
      <c r="C131" s="16"/>
      <c r="D131" s="16"/>
      <c r="E131" s="16"/>
      <c r="F131" s="16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00"/>
      <c r="V131" s="15">
        <f>SUM(I131:T131)</f>
        <v>0</v>
      </c>
    </row>
    <row r="132" spans="1:22" ht="89.25">
      <c r="A132" s="62" t="s">
        <v>87</v>
      </c>
      <c r="B132" s="90" t="s">
        <v>119</v>
      </c>
      <c r="C132" s="37" t="s">
        <v>42</v>
      </c>
      <c r="D132" s="37">
        <v>5800000000</v>
      </c>
      <c r="E132" s="36"/>
      <c r="F132" s="36"/>
      <c r="G132" s="37"/>
      <c r="H132" s="13">
        <f aca="true" t="shared" si="34" ref="H132:T132">H134+H137</f>
        <v>10190000</v>
      </c>
      <c r="I132" s="13">
        <f t="shared" si="34"/>
        <v>660000</v>
      </c>
      <c r="J132" s="13">
        <f t="shared" si="34"/>
        <v>722000</v>
      </c>
      <c r="K132" s="13">
        <f t="shared" si="34"/>
        <v>318000</v>
      </c>
      <c r="L132" s="13">
        <f t="shared" si="34"/>
        <v>837000</v>
      </c>
      <c r="M132" s="13">
        <f t="shared" si="34"/>
        <v>830000</v>
      </c>
      <c r="N132" s="13">
        <f t="shared" si="34"/>
        <v>1096300</v>
      </c>
      <c r="O132" s="13">
        <f t="shared" si="34"/>
        <v>980000</v>
      </c>
      <c r="P132" s="13">
        <f t="shared" si="34"/>
        <v>971000</v>
      </c>
      <c r="Q132" s="13">
        <f t="shared" si="34"/>
        <v>1012300</v>
      </c>
      <c r="R132" s="13">
        <f t="shared" si="34"/>
        <v>940000</v>
      </c>
      <c r="S132" s="13">
        <f t="shared" si="34"/>
        <v>920000</v>
      </c>
      <c r="T132" s="13">
        <f t="shared" si="34"/>
        <v>903400</v>
      </c>
      <c r="U132" s="101"/>
      <c r="V132" s="87">
        <f>V134+V137</f>
        <v>10190000</v>
      </c>
    </row>
    <row r="133" spans="1:22" ht="12.75">
      <c r="A133" s="56"/>
      <c r="B133" s="67"/>
      <c r="C133" s="12"/>
      <c r="D133" s="12"/>
      <c r="E133" s="12"/>
      <c r="F133" s="12"/>
      <c r="G133" s="31"/>
      <c r="H133" s="3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00"/>
      <c r="V133" s="15"/>
    </row>
    <row r="134" spans="1:22" ht="63.75">
      <c r="A134" s="62" t="s">
        <v>87</v>
      </c>
      <c r="B134" s="90" t="s">
        <v>120</v>
      </c>
      <c r="C134" s="37" t="s">
        <v>42</v>
      </c>
      <c r="D134" s="37">
        <v>5810000000</v>
      </c>
      <c r="E134" s="37"/>
      <c r="F134" s="37"/>
      <c r="G134" s="37"/>
      <c r="H134" s="13">
        <f aca="true" t="shared" si="35" ref="H134:T134">H135</f>
        <v>200000</v>
      </c>
      <c r="I134" s="13">
        <f t="shared" si="35"/>
        <v>0</v>
      </c>
      <c r="J134" s="13">
        <f t="shared" si="35"/>
        <v>0</v>
      </c>
      <c r="K134" s="13">
        <f t="shared" si="35"/>
        <v>0</v>
      </c>
      <c r="L134" s="13">
        <f t="shared" si="35"/>
        <v>0</v>
      </c>
      <c r="M134" s="13">
        <f t="shared" si="35"/>
        <v>0</v>
      </c>
      <c r="N134" s="13">
        <f t="shared" si="35"/>
        <v>0</v>
      </c>
      <c r="O134" s="13">
        <f t="shared" si="35"/>
        <v>0</v>
      </c>
      <c r="P134" s="13">
        <f t="shared" si="35"/>
        <v>0</v>
      </c>
      <c r="Q134" s="13">
        <f t="shared" si="35"/>
        <v>200000</v>
      </c>
      <c r="R134" s="13">
        <f t="shared" si="35"/>
        <v>0</v>
      </c>
      <c r="S134" s="13">
        <f t="shared" si="35"/>
        <v>0</v>
      </c>
      <c r="T134" s="13">
        <f t="shared" si="35"/>
        <v>0</v>
      </c>
      <c r="U134" s="101"/>
      <c r="V134" s="87">
        <f>SUM(I134:T134)</f>
        <v>200000</v>
      </c>
    </row>
    <row r="135" spans="1:22" ht="32.25" customHeight="1">
      <c r="A135" s="56" t="s">
        <v>87</v>
      </c>
      <c r="B135" s="48" t="s">
        <v>157</v>
      </c>
      <c r="C135" s="10" t="s">
        <v>42</v>
      </c>
      <c r="D135" s="78" t="s">
        <v>145</v>
      </c>
      <c r="E135" s="10">
        <v>244</v>
      </c>
      <c r="F135" s="10">
        <v>225</v>
      </c>
      <c r="G135" s="31"/>
      <c r="H135" s="29">
        <v>200000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200000</v>
      </c>
      <c r="R135" s="14">
        <v>0</v>
      </c>
      <c r="S135" s="14">
        <v>0</v>
      </c>
      <c r="T135" s="14">
        <v>0</v>
      </c>
      <c r="U135" s="100"/>
      <c r="V135" s="15">
        <f>SUM(I135:T135)</f>
        <v>200000</v>
      </c>
    </row>
    <row r="136" spans="1:22" ht="12.75">
      <c r="A136" s="56"/>
      <c r="B136" s="67"/>
      <c r="C136" s="10"/>
      <c r="D136" s="60"/>
      <c r="E136" s="10"/>
      <c r="F136" s="10"/>
      <c r="G136" s="31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00"/>
      <c r="V136" s="15"/>
    </row>
    <row r="137" spans="1:22" ht="63.75">
      <c r="A137" s="62" t="s">
        <v>87</v>
      </c>
      <c r="B137" s="90" t="s">
        <v>121</v>
      </c>
      <c r="C137" s="37" t="s">
        <v>42</v>
      </c>
      <c r="D137" s="37">
        <v>5820000000</v>
      </c>
      <c r="E137" s="37"/>
      <c r="F137" s="37"/>
      <c r="G137" s="37"/>
      <c r="H137" s="13">
        <f aca="true" t="shared" si="36" ref="H137:T137">H138+H139</f>
        <v>9990000</v>
      </c>
      <c r="I137" s="13">
        <f t="shared" si="36"/>
        <v>660000</v>
      </c>
      <c r="J137" s="13">
        <f t="shared" si="36"/>
        <v>722000</v>
      </c>
      <c r="K137" s="13">
        <f t="shared" si="36"/>
        <v>318000</v>
      </c>
      <c r="L137" s="13">
        <f t="shared" si="36"/>
        <v>837000</v>
      </c>
      <c r="M137" s="13">
        <f t="shared" si="36"/>
        <v>830000</v>
      </c>
      <c r="N137" s="13">
        <f t="shared" si="36"/>
        <v>1096300</v>
      </c>
      <c r="O137" s="13">
        <f t="shared" si="36"/>
        <v>980000</v>
      </c>
      <c r="P137" s="13">
        <f t="shared" si="36"/>
        <v>971000</v>
      </c>
      <c r="Q137" s="13">
        <f t="shared" si="36"/>
        <v>812300</v>
      </c>
      <c r="R137" s="13">
        <f t="shared" si="36"/>
        <v>940000</v>
      </c>
      <c r="S137" s="13">
        <f t="shared" si="36"/>
        <v>920000</v>
      </c>
      <c r="T137" s="13">
        <f t="shared" si="36"/>
        <v>903400</v>
      </c>
      <c r="U137" s="101"/>
      <c r="V137" s="87">
        <f>SUM(I137:T137)</f>
        <v>9990000</v>
      </c>
    </row>
    <row r="138" spans="1:22" ht="25.5">
      <c r="A138" s="56" t="s">
        <v>87</v>
      </c>
      <c r="B138" s="48" t="s">
        <v>157</v>
      </c>
      <c r="C138" s="10" t="s">
        <v>42</v>
      </c>
      <c r="D138" s="10">
        <v>5820110140</v>
      </c>
      <c r="E138" s="10">
        <v>244</v>
      </c>
      <c r="F138" s="10">
        <v>225</v>
      </c>
      <c r="G138" s="31"/>
      <c r="H138" s="29">
        <v>7812000</v>
      </c>
      <c r="I138" s="14">
        <v>560000</v>
      </c>
      <c r="J138" s="14">
        <v>530000</v>
      </c>
      <c r="K138" s="14">
        <v>208000</v>
      </c>
      <c r="L138" s="14">
        <v>600000</v>
      </c>
      <c r="M138" s="14">
        <v>650000</v>
      </c>
      <c r="N138" s="14">
        <v>921300</v>
      </c>
      <c r="O138" s="14">
        <v>830000</v>
      </c>
      <c r="P138" s="14">
        <v>750000</v>
      </c>
      <c r="Q138" s="14">
        <v>591300</v>
      </c>
      <c r="R138" s="14">
        <v>790000</v>
      </c>
      <c r="S138" s="14">
        <v>770000</v>
      </c>
      <c r="T138" s="14">
        <v>611400</v>
      </c>
      <c r="U138" s="100"/>
      <c r="V138" s="15">
        <f>SUM(I138:T138)</f>
        <v>7812000</v>
      </c>
    </row>
    <row r="139" spans="1:22" ht="25.5">
      <c r="A139" s="56" t="s">
        <v>87</v>
      </c>
      <c r="B139" s="110" t="s">
        <v>168</v>
      </c>
      <c r="C139" s="10" t="s">
        <v>42</v>
      </c>
      <c r="D139" s="10">
        <v>5820110140</v>
      </c>
      <c r="E139" s="10">
        <v>247</v>
      </c>
      <c r="F139" s="10">
        <v>223</v>
      </c>
      <c r="G139" s="31"/>
      <c r="H139" s="14">
        <v>2178000</v>
      </c>
      <c r="I139" s="14">
        <v>100000</v>
      </c>
      <c r="J139" s="14">
        <v>192000</v>
      </c>
      <c r="K139" s="14">
        <v>110000</v>
      </c>
      <c r="L139" s="14">
        <v>237000</v>
      </c>
      <c r="M139" s="14">
        <v>180000</v>
      </c>
      <c r="N139" s="14">
        <v>175000</v>
      </c>
      <c r="O139" s="14">
        <v>150000</v>
      </c>
      <c r="P139" s="14">
        <v>221000</v>
      </c>
      <c r="Q139" s="14">
        <v>221000</v>
      </c>
      <c r="R139" s="14">
        <v>150000</v>
      </c>
      <c r="S139" s="14">
        <v>150000</v>
      </c>
      <c r="T139" s="14">
        <v>292000</v>
      </c>
      <c r="U139" s="100"/>
      <c r="V139" s="15">
        <f>SUM(I139:T139)</f>
        <v>2178000</v>
      </c>
    </row>
    <row r="140" spans="1:22" ht="12.75">
      <c r="A140" s="56"/>
      <c r="B140" s="23"/>
      <c r="C140" s="10"/>
      <c r="D140" s="10"/>
      <c r="E140" s="10"/>
      <c r="F140" s="10"/>
      <c r="G140" s="31"/>
      <c r="H140" s="3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00"/>
      <c r="V140" s="15"/>
    </row>
    <row r="141" spans="1:22" ht="12.75">
      <c r="A141" s="56"/>
      <c r="B141" s="25" t="s">
        <v>45</v>
      </c>
      <c r="C141" s="25" t="s">
        <v>42</v>
      </c>
      <c r="D141" s="12"/>
      <c r="E141" s="12"/>
      <c r="F141" s="12"/>
      <c r="G141" s="31"/>
      <c r="H141" s="30">
        <f aca="true" t="shared" si="37" ref="H141:T141">H132</f>
        <v>10190000</v>
      </c>
      <c r="I141" s="30">
        <f t="shared" si="37"/>
        <v>660000</v>
      </c>
      <c r="J141" s="30">
        <f t="shared" si="37"/>
        <v>722000</v>
      </c>
      <c r="K141" s="30">
        <f t="shared" si="37"/>
        <v>318000</v>
      </c>
      <c r="L141" s="30">
        <f t="shared" si="37"/>
        <v>837000</v>
      </c>
      <c r="M141" s="30">
        <f t="shared" si="37"/>
        <v>830000</v>
      </c>
      <c r="N141" s="30">
        <f t="shared" si="37"/>
        <v>1096300</v>
      </c>
      <c r="O141" s="30">
        <f t="shared" si="37"/>
        <v>980000</v>
      </c>
      <c r="P141" s="30">
        <f t="shared" si="37"/>
        <v>971000</v>
      </c>
      <c r="Q141" s="30">
        <f t="shared" si="37"/>
        <v>1012300</v>
      </c>
      <c r="R141" s="30">
        <f t="shared" si="37"/>
        <v>940000</v>
      </c>
      <c r="S141" s="30">
        <f t="shared" si="37"/>
        <v>920000</v>
      </c>
      <c r="T141" s="30">
        <f t="shared" si="37"/>
        <v>903400</v>
      </c>
      <c r="U141" s="102"/>
      <c r="V141" s="47">
        <f>SUM(I141:T141)</f>
        <v>10190000</v>
      </c>
    </row>
    <row r="142" spans="1:22" ht="12.75">
      <c r="A142" s="56"/>
      <c r="B142" s="67"/>
      <c r="C142" s="12"/>
      <c r="D142" s="12"/>
      <c r="E142" s="12"/>
      <c r="F142" s="12"/>
      <c r="G142" s="31"/>
      <c r="H142" s="3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00"/>
      <c r="V142" s="15"/>
    </row>
    <row r="143" spans="1:22" ht="63.75">
      <c r="A143" s="62" t="s">
        <v>87</v>
      </c>
      <c r="B143" s="90" t="s">
        <v>122</v>
      </c>
      <c r="C143" s="37" t="s">
        <v>20</v>
      </c>
      <c r="D143" s="37">
        <v>5900000000</v>
      </c>
      <c r="E143" s="37"/>
      <c r="F143" s="37"/>
      <c r="G143" s="37"/>
      <c r="H143" s="13">
        <f aca="true" t="shared" si="38" ref="H143:T143">H144</f>
        <v>100046</v>
      </c>
      <c r="I143" s="13">
        <f t="shared" si="38"/>
        <v>0</v>
      </c>
      <c r="J143" s="13">
        <f t="shared" si="38"/>
        <v>0</v>
      </c>
      <c r="K143" s="13">
        <f t="shared" si="38"/>
        <v>0</v>
      </c>
      <c r="L143" s="13">
        <f t="shared" si="38"/>
        <v>0</v>
      </c>
      <c r="M143" s="13">
        <f t="shared" si="38"/>
        <v>0</v>
      </c>
      <c r="N143" s="13">
        <f t="shared" si="38"/>
        <v>0</v>
      </c>
      <c r="O143" s="13">
        <f t="shared" si="38"/>
        <v>0</v>
      </c>
      <c r="P143" s="13">
        <f t="shared" si="38"/>
        <v>0</v>
      </c>
      <c r="Q143" s="13">
        <f t="shared" si="38"/>
        <v>0</v>
      </c>
      <c r="R143" s="13">
        <f t="shared" si="38"/>
        <v>0</v>
      </c>
      <c r="S143" s="13">
        <f t="shared" si="38"/>
        <v>0</v>
      </c>
      <c r="T143" s="13">
        <f t="shared" si="38"/>
        <v>100046</v>
      </c>
      <c r="U143" s="101"/>
      <c r="V143" s="18">
        <f aca="true" t="shared" si="39" ref="V143:V159">SUM(I143:T143)</f>
        <v>100046</v>
      </c>
    </row>
    <row r="144" spans="1:22" ht="25.5">
      <c r="A144" s="56" t="s">
        <v>87</v>
      </c>
      <c r="B144" s="48" t="s">
        <v>157</v>
      </c>
      <c r="C144" s="10" t="s">
        <v>20</v>
      </c>
      <c r="D144" s="10">
        <v>5910110160</v>
      </c>
      <c r="E144" s="10">
        <v>244</v>
      </c>
      <c r="F144" s="10">
        <v>226</v>
      </c>
      <c r="G144" s="31"/>
      <c r="H144" s="14">
        <v>100046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100046</v>
      </c>
      <c r="U144" s="100"/>
      <c r="V144" s="15">
        <f t="shared" si="39"/>
        <v>100046</v>
      </c>
    </row>
    <row r="145" spans="1:22" ht="12.75">
      <c r="A145" s="56"/>
      <c r="B145" s="67"/>
      <c r="C145" s="12"/>
      <c r="D145" s="12"/>
      <c r="E145" s="12"/>
      <c r="F145" s="12"/>
      <c r="G145" s="31"/>
      <c r="H145" s="3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00"/>
      <c r="V145" s="15">
        <f t="shared" si="39"/>
        <v>0</v>
      </c>
    </row>
    <row r="146" spans="1:22" ht="153" customHeight="1">
      <c r="A146" s="62" t="s">
        <v>87</v>
      </c>
      <c r="B146" s="90" t="s">
        <v>193</v>
      </c>
      <c r="C146" s="37" t="s">
        <v>20</v>
      </c>
      <c r="D146" s="37">
        <v>6000000000</v>
      </c>
      <c r="E146" s="37"/>
      <c r="F146" s="37"/>
      <c r="G146" s="37"/>
      <c r="H146" s="13">
        <f aca="true" t="shared" si="40" ref="H146:T146">H147</f>
        <v>20000</v>
      </c>
      <c r="I146" s="13">
        <f t="shared" si="40"/>
        <v>0</v>
      </c>
      <c r="J146" s="13">
        <f t="shared" si="40"/>
        <v>0</v>
      </c>
      <c r="K146" s="13">
        <f t="shared" si="40"/>
        <v>0</v>
      </c>
      <c r="L146" s="13">
        <f t="shared" si="40"/>
        <v>0</v>
      </c>
      <c r="M146" s="13">
        <f t="shared" si="40"/>
        <v>0</v>
      </c>
      <c r="N146" s="13">
        <f t="shared" si="40"/>
        <v>0</v>
      </c>
      <c r="O146" s="13">
        <f t="shared" si="40"/>
        <v>0</v>
      </c>
      <c r="P146" s="13">
        <f t="shared" si="40"/>
        <v>0</v>
      </c>
      <c r="Q146" s="13">
        <f t="shared" si="40"/>
        <v>0</v>
      </c>
      <c r="R146" s="13">
        <f t="shared" si="40"/>
        <v>0</v>
      </c>
      <c r="S146" s="13">
        <f t="shared" si="40"/>
        <v>20000</v>
      </c>
      <c r="T146" s="13">
        <f t="shared" si="40"/>
        <v>0</v>
      </c>
      <c r="U146" s="101"/>
      <c r="V146" s="87">
        <f t="shared" si="39"/>
        <v>20000</v>
      </c>
    </row>
    <row r="147" spans="1:22" ht="38.25">
      <c r="A147" s="56" t="s">
        <v>87</v>
      </c>
      <c r="B147" s="48" t="s">
        <v>158</v>
      </c>
      <c r="C147" s="10" t="s">
        <v>20</v>
      </c>
      <c r="D147" s="10">
        <v>6010110170</v>
      </c>
      <c r="E147" s="10">
        <v>244</v>
      </c>
      <c r="F147" s="10">
        <v>340</v>
      </c>
      <c r="G147" s="10"/>
      <c r="H147" s="14">
        <v>20000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20000</v>
      </c>
      <c r="T147" s="14">
        <v>0</v>
      </c>
      <c r="U147" s="100"/>
      <c r="V147" s="15">
        <f t="shared" si="39"/>
        <v>20000</v>
      </c>
    </row>
    <row r="148" spans="1:22" ht="12.75">
      <c r="A148" s="56"/>
      <c r="B148" s="63"/>
      <c r="C148" s="16"/>
      <c r="D148" s="16"/>
      <c r="E148" s="16"/>
      <c r="F148" s="16"/>
      <c r="G148" s="10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00"/>
      <c r="V148" s="15">
        <f t="shared" si="39"/>
        <v>0</v>
      </c>
    </row>
    <row r="149" spans="1:22" ht="116.25" customHeight="1">
      <c r="A149" s="57" t="s">
        <v>87</v>
      </c>
      <c r="B149" s="90" t="s">
        <v>203</v>
      </c>
      <c r="C149" s="37" t="s">
        <v>20</v>
      </c>
      <c r="D149" s="37">
        <v>8710000460</v>
      </c>
      <c r="E149" s="37">
        <v>540</v>
      </c>
      <c r="F149" s="36"/>
      <c r="G149" s="37"/>
      <c r="H149" s="13">
        <v>354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354</v>
      </c>
      <c r="R149" s="13">
        <v>0</v>
      </c>
      <c r="S149" s="13">
        <v>0</v>
      </c>
      <c r="T149" s="13">
        <v>0</v>
      </c>
      <c r="U149" s="101"/>
      <c r="V149" s="15">
        <f t="shared" si="39"/>
        <v>354</v>
      </c>
    </row>
    <row r="150" spans="1:22" ht="12.75">
      <c r="A150" s="56"/>
      <c r="B150" s="25"/>
      <c r="C150" s="26"/>
      <c r="D150" s="12"/>
      <c r="E150" s="12"/>
      <c r="F150" s="12"/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102"/>
      <c r="V150" s="15">
        <f t="shared" si="39"/>
        <v>0</v>
      </c>
    </row>
    <row r="151" spans="1:22" ht="12.75">
      <c r="A151" s="56"/>
      <c r="B151" s="25"/>
      <c r="C151" s="26"/>
      <c r="D151" s="12"/>
      <c r="E151" s="12"/>
      <c r="F151" s="12"/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102"/>
      <c r="V151" s="15">
        <f t="shared" si="39"/>
        <v>0</v>
      </c>
    </row>
    <row r="152" spans="1:22" ht="12.75">
      <c r="A152" s="56"/>
      <c r="B152" s="25" t="s">
        <v>45</v>
      </c>
      <c r="C152" s="25" t="s">
        <v>20</v>
      </c>
      <c r="D152" s="12"/>
      <c r="E152" s="12"/>
      <c r="F152" s="12"/>
      <c r="G152" s="31"/>
      <c r="H152" s="30">
        <f aca="true" t="shared" si="41" ref="H152:T152">H146+H143+H149</f>
        <v>120400</v>
      </c>
      <c r="I152" s="30">
        <f t="shared" si="41"/>
        <v>0</v>
      </c>
      <c r="J152" s="30">
        <f t="shared" si="41"/>
        <v>0</v>
      </c>
      <c r="K152" s="30">
        <f t="shared" si="41"/>
        <v>0</v>
      </c>
      <c r="L152" s="30">
        <f t="shared" si="41"/>
        <v>0</v>
      </c>
      <c r="M152" s="30">
        <f t="shared" si="41"/>
        <v>0</v>
      </c>
      <c r="N152" s="30">
        <f t="shared" si="41"/>
        <v>0</v>
      </c>
      <c r="O152" s="30">
        <f t="shared" si="41"/>
        <v>0</v>
      </c>
      <c r="P152" s="30">
        <f t="shared" si="41"/>
        <v>0</v>
      </c>
      <c r="Q152" s="30">
        <f t="shared" si="41"/>
        <v>354</v>
      </c>
      <c r="R152" s="30">
        <f t="shared" si="41"/>
        <v>0</v>
      </c>
      <c r="S152" s="30">
        <f t="shared" si="41"/>
        <v>20000</v>
      </c>
      <c r="T152" s="30">
        <f t="shared" si="41"/>
        <v>100046</v>
      </c>
      <c r="U152" s="102"/>
      <c r="V152" s="47">
        <f t="shared" si="39"/>
        <v>120400</v>
      </c>
    </row>
    <row r="153" spans="1:22" ht="12.75">
      <c r="A153" s="56"/>
      <c r="B153" s="67"/>
      <c r="C153" s="12"/>
      <c r="D153" s="12"/>
      <c r="E153" s="12"/>
      <c r="F153" s="12"/>
      <c r="G153" s="31"/>
      <c r="H153" s="3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00"/>
      <c r="V153" s="15">
        <f t="shared" si="39"/>
        <v>0</v>
      </c>
    </row>
    <row r="154" spans="1:22" ht="12.75">
      <c r="A154" s="66"/>
      <c r="B154" s="92" t="s">
        <v>61</v>
      </c>
      <c r="C154" s="68"/>
      <c r="D154" s="68"/>
      <c r="E154" s="68"/>
      <c r="F154" s="68"/>
      <c r="G154" s="69"/>
      <c r="H154" s="42">
        <f aca="true" t="shared" si="42" ref="H154:T154">H152+H141</f>
        <v>10310400</v>
      </c>
      <c r="I154" s="42">
        <f t="shared" si="42"/>
        <v>660000</v>
      </c>
      <c r="J154" s="42">
        <f t="shared" si="42"/>
        <v>722000</v>
      </c>
      <c r="K154" s="42">
        <f t="shared" si="42"/>
        <v>318000</v>
      </c>
      <c r="L154" s="42">
        <f t="shared" si="42"/>
        <v>837000</v>
      </c>
      <c r="M154" s="42">
        <f t="shared" si="42"/>
        <v>830000</v>
      </c>
      <c r="N154" s="42">
        <f t="shared" si="42"/>
        <v>1096300</v>
      </c>
      <c r="O154" s="42">
        <f t="shared" si="42"/>
        <v>980000</v>
      </c>
      <c r="P154" s="42">
        <f t="shared" si="42"/>
        <v>971000</v>
      </c>
      <c r="Q154" s="42">
        <f t="shared" si="42"/>
        <v>1012654</v>
      </c>
      <c r="R154" s="42">
        <f t="shared" si="42"/>
        <v>940000</v>
      </c>
      <c r="S154" s="42">
        <f t="shared" si="42"/>
        <v>940000</v>
      </c>
      <c r="T154" s="42">
        <f t="shared" si="42"/>
        <v>1003446</v>
      </c>
      <c r="U154" s="104"/>
      <c r="V154" s="50">
        <f t="shared" si="39"/>
        <v>10310400</v>
      </c>
    </row>
    <row r="155" spans="1:22" ht="12.75">
      <c r="A155" s="60"/>
      <c r="B155" s="43"/>
      <c r="C155" s="12"/>
      <c r="D155" s="12"/>
      <c r="E155" s="12"/>
      <c r="F155" s="12"/>
      <c r="G155" s="31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104"/>
      <c r="V155" s="15">
        <f t="shared" si="39"/>
        <v>0</v>
      </c>
    </row>
    <row r="156" spans="1:22" ht="84" customHeight="1">
      <c r="A156" s="62" t="s">
        <v>87</v>
      </c>
      <c r="B156" s="90" t="s">
        <v>123</v>
      </c>
      <c r="C156" s="37" t="s">
        <v>21</v>
      </c>
      <c r="D156" s="37">
        <v>6100000000</v>
      </c>
      <c r="E156" s="36"/>
      <c r="F156" s="36"/>
      <c r="G156" s="37"/>
      <c r="H156" s="13">
        <f aca="true" t="shared" si="43" ref="H156:T156">H158+H163+H160</f>
        <v>220000</v>
      </c>
      <c r="I156" s="13">
        <f t="shared" si="43"/>
        <v>0</v>
      </c>
      <c r="J156" s="13">
        <f t="shared" si="43"/>
        <v>0</v>
      </c>
      <c r="K156" s="13">
        <f t="shared" si="43"/>
        <v>0</v>
      </c>
      <c r="L156" s="13">
        <f t="shared" si="43"/>
        <v>0</v>
      </c>
      <c r="M156" s="13">
        <f t="shared" si="43"/>
        <v>0</v>
      </c>
      <c r="N156" s="13">
        <f t="shared" si="43"/>
        <v>0</v>
      </c>
      <c r="O156" s="13">
        <f t="shared" si="43"/>
        <v>50000</v>
      </c>
      <c r="P156" s="13">
        <f t="shared" si="43"/>
        <v>50000</v>
      </c>
      <c r="Q156" s="13">
        <f t="shared" si="43"/>
        <v>110000</v>
      </c>
      <c r="R156" s="13">
        <f t="shared" si="43"/>
        <v>0</v>
      </c>
      <c r="S156" s="13">
        <f t="shared" si="43"/>
        <v>10000</v>
      </c>
      <c r="T156" s="13">
        <f t="shared" si="43"/>
        <v>0</v>
      </c>
      <c r="U156" s="101"/>
      <c r="V156" s="87">
        <f t="shared" si="39"/>
        <v>220000</v>
      </c>
    </row>
    <row r="157" spans="1:22" ht="13.5" customHeight="1">
      <c r="A157" s="65"/>
      <c r="B157" s="67"/>
      <c r="C157" s="12"/>
      <c r="D157" s="12"/>
      <c r="E157" s="12"/>
      <c r="F157" s="12"/>
      <c r="G157" s="31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101"/>
      <c r="V157" s="15">
        <f t="shared" si="39"/>
        <v>0</v>
      </c>
    </row>
    <row r="158" spans="1:22" ht="86.25" customHeight="1">
      <c r="A158" s="62" t="s">
        <v>87</v>
      </c>
      <c r="B158" s="90" t="s">
        <v>124</v>
      </c>
      <c r="C158" s="37" t="s">
        <v>21</v>
      </c>
      <c r="D158" s="37">
        <v>6110000000</v>
      </c>
      <c r="E158" s="37"/>
      <c r="F158" s="37"/>
      <c r="G158" s="37"/>
      <c r="H158" s="13">
        <f aca="true" t="shared" si="44" ref="H158:T158">H159</f>
        <v>10000</v>
      </c>
      <c r="I158" s="13">
        <f t="shared" si="44"/>
        <v>0</v>
      </c>
      <c r="J158" s="13">
        <f t="shared" si="44"/>
        <v>0</v>
      </c>
      <c r="K158" s="13">
        <f t="shared" si="44"/>
        <v>0</v>
      </c>
      <c r="L158" s="13">
        <f t="shared" si="44"/>
        <v>0</v>
      </c>
      <c r="M158" s="13">
        <f t="shared" si="44"/>
        <v>0</v>
      </c>
      <c r="N158" s="13">
        <f t="shared" si="44"/>
        <v>0</v>
      </c>
      <c r="O158" s="13">
        <f t="shared" si="44"/>
        <v>0</v>
      </c>
      <c r="P158" s="13">
        <f t="shared" si="44"/>
        <v>0</v>
      </c>
      <c r="Q158" s="13">
        <f t="shared" si="44"/>
        <v>10000</v>
      </c>
      <c r="R158" s="13">
        <f t="shared" si="44"/>
        <v>0</v>
      </c>
      <c r="S158" s="13">
        <f t="shared" si="44"/>
        <v>0</v>
      </c>
      <c r="T158" s="13">
        <f t="shared" si="44"/>
        <v>0</v>
      </c>
      <c r="U158" s="101"/>
      <c r="V158" s="87">
        <f t="shared" si="39"/>
        <v>10000</v>
      </c>
    </row>
    <row r="159" spans="1:22" ht="25.5">
      <c r="A159" s="56" t="s">
        <v>87</v>
      </c>
      <c r="B159" s="48" t="s">
        <v>157</v>
      </c>
      <c r="C159" s="10" t="s">
        <v>21</v>
      </c>
      <c r="D159" s="10">
        <v>6110110200</v>
      </c>
      <c r="E159" s="10">
        <v>244</v>
      </c>
      <c r="F159" s="10">
        <v>225</v>
      </c>
      <c r="G159" s="31"/>
      <c r="H159" s="14">
        <v>10000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10000</v>
      </c>
      <c r="R159" s="14">
        <v>0</v>
      </c>
      <c r="S159" s="14">
        <v>0</v>
      </c>
      <c r="T159" s="14">
        <v>0</v>
      </c>
      <c r="U159" s="100"/>
      <c r="V159" s="15">
        <f t="shared" si="39"/>
        <v>10000</v>
      </c>
    </row>
    <row r="160" spans="1:22" s="3" customFormat="1" ht="141" customHeight="1">
      <c r="A160" s="62" t="s">
        <v>87</v>
      </c>
      <c r="B160" s="90" t="s">
        <v>125</v>
      </c>
      <c r="C160" s="37" t="s">
        <v>21</v>
      </c>
      <c r="D160" s="37">
        <v>6120000000</v>
      </c>
      <c r="E160" s="37"/>
      <c r="F160" s="37"/>
      <c r="G160" s="37"/>
      <c r="H160" s="13">
        <f aca="true" t="shared" si="45" ref="H160:T160">H161</f>
        <v>10000</v>
      </c>
      <c r="I160" s="13">
        <f t="shared" si="45"/>
        <v>0</v>
      </c>
      <c r="J160" s="13">
        <f t="shared" si="45"/>
        <v>0</v>
      </c>
      <c r="K160" s="13">
        <f t="shared" si="45"/>
        <v>0</v>
      </c>
      <c r="L160" s="13">
        <f t="shared" si="45"/>
        <v>0</v>
      </c>
      <c r="M160" s="13">
        <f t="shared" si="45"/>
        <v>0</v>
      </c>
      <c r="N160" s="13">
        <f t="shared" si="45"/>
        <v>0</v>
      </c>
      <c r="O160" s="13">
        <f t="shared" si="45"/>
        <v>0</v>
      </c>
      <c r="P160" s="13">
        <f t="shared" si="45"/>
        <v>0</v>
      </c>
      <c r="Q160" s="13">
        <f t="shared" si="45"/>
        <v>0</v>
      </c>
      <c r="R160" s="13">
        <f t="shared" si="45"/>
        <v>0</v>
      </c>
      <c r="S160" s="13">
        <f t="shared" si="45"/>
        <v>10000</v>
      </c>
      <c r="T160" s="13">
        <f t="shared" si="45"/>
        <v>0</v>
      </c>
      <c r="U160" s="101"/>
      <c r="V160" s="87">
        <f>V161</f>
        <v>10000</v>
      </c>
    </row>
    <row r="161" spans="1:22" ht="51">
      <c r="A161" s="56" t="s">
        <v>87</v>
      </c>
      <c r="B161" s="48" t="s">
        <v>175</v>
      </c>
      <c r="C161" s="10" t="s">
        <v>21</v>
      </c>
      <c r="D161" s="10">
        <v>6120110210</v>
      </c>
      <c r="E161" s="10">
        <v>244</v>
      </c>
      <c r="F161" s="10">
        <v>310</v>
      </c>
      <c r="G161" s="31"/>
      <c r="H161" s="14">
        <v>10000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10000</v>
      </c>
      <c r="T161" s="14">
        <v>0</v>
      </c>
      <c r="U161" s="100"/>
      <c r="V161" s="15">
        <f>SUM(I161:T161)</f>
        <v>10000</v>
      </c>
    </row>
    <row r="162" spans="1:22" ht="12.75">
      <c r="A162" s="56"/>
      <c r="B162" s="63"/>
      <c r="C162" s="10"/>
      <c r="D162" s="10"/>
      <c r="E162" s="10"/>
      <c r="F162" s="10"/>
      <c r="G162" s="31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00"/>
      <c r="V162" s="15"/>
    </row>
    <row r="163" spans="1:22" ht="63.75">
      <c r="A163" s="62" t="s">
        <v>87</v>
      </c>
      <c r="B163" s="90" t="s">
        <v>139</v>
      </c>
      <c r="C163" s="37" t="s">
        <v>21</v>
      </c>
      <c r="D163" s="37">
        <v>6200000000</v>
      </c>
      <c r="E163" s="37"/>
      <c r="F163" s="37"/>
      <c r="G163" s="37"/>
      <c r="H163" s="13">
        <f aca="true" t="shared" si="46" ref="H163:T163">H164+H165</f>
        <v>200000</v>
      </c>
      <c r="I163" s="13">
        <f t="shared" si="46"/>
        <v>0</v>
      </c>
      <c r="J163" s="13">
        <f t="shared" si="46"/>
        <v>0</v>
      </c>
      <c r="K163" s="13">
        <f t="shared" si="46"/>
        <v>0</v>
      </c>
      <c r="L163" s="13">
        <f t="shared" si="46"/>
        <v>0</v>
      </c>
      <c r="M163" s="13">
        <f t="shared" si="46"/>
        <v>0</v>
      </c>
      <c r="N163" s="13">
        <f t="shared" si="46"/>
        <v>0</v>
      </c>
      <c r="O163" s="13">
        <f t="shared" si="46"/>
        <v>50000</v>
      </c>
      <c r="P163" s="13">
        <f t="shared" si="46"/>
        <v>50000</v>
      </c>
      <c r="Q163" s="13">
        <f t="shared" si="46"/>
        <v>100000</v>
      </c>
      <c r="R163" s="13">
        <f t="shared" si="46"/>
        <v>0</v>
      </c>
      <c r="S163" s="13">
        <f t="shared" si="46"/>
        <v>0</v>
      </c>
      <c r="T163" s="13">
        <f t="shared" si="46"/>
        <v>0</v>
      </c>
      <c r="U163" s="101"/>
      <c r="V163" s="87">
        <f>SUM(I163:T163)</f>
        <v>200000</v>
      </c>
    </row>
    <row r="164" spans="1:22" ht="25.5">
      <c r="A164" s="56" t="s">
        <v>87</v>
      </c>
      <c r="B164" s="48" t="s">
        <v>157</v>
      </c>
      <c r="C164" s="10" t="s">
        <v>21</v>
      </c>
      <c r="D164" s="10">
        <v>6210110230</v>
      </c>
      <c r="E164" s="10">
        <v>244</v>
      </c>
      <c r="F164" s="10">
        <v>310</v>
      </c>
      <c r="G164" s="31"/>
      <c r="H164" s="14">
        <v>200000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50000</v>
      </c>
      <c r="P164" s="14">
        <v>50000</v>
      </c>
      <c r="Q164" s="14">
        <v>100000</v>
      </c>
      <c r="R164" s="14">
        <v>0</v>
      </c>
      <c r="S164" s="14">
        <v>0</v>
      </c>
      <c r="T164" s="14">
        <v>0</v>
      </c>
      <c r="U164" s="100"/>
      <c r="V164" s="15">
        <f>SUM(I164:T164)</f>
        <v>200000</v>
      </c>
    </row>
    <row r="165" spans="1:22" ht="76.5" hidden="1">
      <c r="A165" s="56" t="s">
        <v>87</v>
      </c>
      <c r="B165" s="48" t="s">
        <v>198</v>
      </c>
      <c r="C165" s="10" t="s">
        <v>21</v>
      </c>
      <c r="D165" s="10">
        <v>6210110230</v>
      </c>
      <c r="E165" s="10">
        <v>245</v>
      </c>
      <c r="F165" s="10">
        <v>226</v>
      </c>
      <c r="G165" s="31"/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00"/>
      <c r="V165" s="15">
        <f>SUM(I165:T165)</f>
        <v>0</v>
      </c>
    </row>
    <row r="166" spans="1:22" ht="12.75">
      <c r="A166" s="56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103"/>
      <c r="V166" s="22"/>
    </row>
    <row r="167" spans="1:22" ht="12.75">
      <c r="A167" s="60"/>
      <c r="B167" s="25" t="s">
        <v>45</v>
      </c>
      <c r="C167" s="25" t="s">
        <v>21</v>
      </c>
      <c r="D167" s="12"/>
      <c r="E167" s="12"/>
      <c r="F167" s="12"/>
      <c r="G167" s="31"/>
      <c r="H167" s="30">
        <f aca="true" t="shared" si="47" ref="H167:T167">H161+H163+H158</f>
        <v>220000</v>
      </c>
      <c r="I167" s="30">
        <f t="shared" si="47"/>
        <v>0</v>
      </c>
      <c r="J167" s="30">
        <f t="shared" si="47"/>
        <v>0</v>
      </c>
      <c r="K167" s="30">
        <f t="shared" si="47"/>
        <v>0</v>
      </c>
      <c r="L167" s="30">
        <f t="shared" si="47"/>
        <v>0</v>
      </c>
      <c r="M167" s="30">
        <f t="shared" si="47"/>
        <v>0</v>
      </c>
      <c r="N167" s="30">
        <f t="shared" si="47"/>
        <v>0</v>
      </c>
      <c r="O167" s="30">
        <f t="shared" si="47"/>
        <v>50000</v>
      </c>
      <c r="P167" s="30">
        <f t="shared" si="47"/>
        <v>50000</v>
      </c>
      <c r="Q167" s="30">
        <f t="shared" si="47"/>
        <v>110000</v>
      </c>
      <c r="R167" s="30">
        <f t="shared" si="47"/>
        <v>0</v>
      </c>
      <c r="S167" s="30">
        <f t="shared" si="47"/>
        <v>10000</v>
      </c>
      <c r="T167" s="30">
        <f t="shared" si="47"/>
        <v>0</v>
      </c>
      <c r="U167" s="102"/>
      <c r="V167" s="47">
        <f>SUM(I167:T167)</f>
        <v>220000</v>
      </c>
    </row>
    <row r="168" spans="1:22" ht="12.75">
      <c r="A168" s="60"/>
      <c r="B168" s="25"/>
      <c r="C168" s="11"/>
      <c r="D168" s="12"/>
      <c r="E168" s="12"/>
      <c r="F168" s="12"/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97"/>
      <c r="V168" s="47"/>
    </row>
    <row r="169" spans="1:22" ht="63.75">
      <c r="A169" s="62" t="s">
        <v>87</v>
      </c>
      <c r="B169" s="93" t="s">
        <v>146</v>
      </c>
      <c r="C169" s="37" t="s">
        <v>22</v>
      </c>
      <c r="D169" s="94" t="s">
        <v>102</v>
      </c>
      <c r="E169" s="41"/>
      <c r="F169" s="41"/>
      <c r="G169" s="37"/>
      <c r="H169" s="13">
        <f aca="true" t="shared" si="48" ref="H169:T169">H170</f>
        <v>50000</v>
      </c>
      <c r="I169" s="13">
        <f t="shared" si="48"/>
        <v>0</v>
      </c>
      <c r="J169" s="13">
        <f t="shared" si="48"/>
        <v>0</v>
      </c>
      <c r="K169" s="13">
        <f t="shared" si="48"/>
        <v>0</v>
      </c>
      <c r="L169" s="13">
        <f t="shared" si="48"/>
        <v>0</v>
      </c>
      <c r="M169" s="13">
        <f t="shared" si="48"/>
        <v>0</v>
      </c>
      <c r="N169" s="13">
        <f t="shared" si="48"/>
        <v>0</v>
      </c>
      <c r="O169" s="13">
        <f t="shared" si="48"/>
        <v>0</v>
      </c>
      <c r="P169" s="13">
        <f t="shared" si="48"/>
        <v>0</v>
      </c>
      <c r="Q169" s="13">
        <f t="shared" si="48"/>
        <v>50000</v>
      </c>
      <c r="R169" s="13">
        <f t="shared" si="48"/>
        <v>0</v>
      </c>
      <c r="S169" s="13">
        <f t="shared" si="48"/>
        <v>0</v>
      </c>
      <c r="T169" s="13">
        <f t="shared" si="48"/>
        <v>0</v>
      </c>
      <c r="U169" s="58"/>
      <c r="V169" s="88">
        <f>V170</f>
        <v>50000</v>
      </c>
    </row>
    <row r="170" spans="1:22" ht="25.5">
      <c r="A170" s="56" t="s">
        <v>87</v>
      </c>
      <c r="B170" s="48" t="s">
        <v>157</v>
      </c>
      <c r="C170" s="10" t="s">
        <v>22</v>
      </c>
      <c r="D170" s="95" t="s">
        <v>103</v>
      </c>
      <c r="E170" s="10">
        <v>244</v>
      </c>
      <c r="F170" s="10">
        <v>226</v>
      </c>
      <c r="G170" s="31"/>
      <c r="H170" s="14">
        <v>50000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50000</v>
      </c>
      <c r="R170" s="14">
        <v>0</v>
      </c>
      <c r="S170" s="14">
        <v>0</v>
      </c>
      <c r="T170" s="14">
        <v>0</v>
      </c>
      <c r="U170" s="100"/>
      <c r="V170" s="15">
        <f>SUM(I170:T170)</f>
        <v>50000</v>
      </c>
    </row>
    <row r="171" spans="1:22" ht="83.25" customHeight="1">
      <c r="A171" s="62" t="s">
        <v>87</v>
      </c>
      <c r="B171" s="90" t="s">
        <v>126</v>
      </c>
      <c r="C171" s="37" t="s">
        <v>22</v>
      </c>
      <c r="D171" s="37">
        <v>6300000000</v>
      </c>
      <c r="E171" s="36"/>
      <c r="F171" s="36"/>
      <c r="G171" s="37"/>
      <c r="H171" s="13">
        <f aca="true" t="shared" si="49" ref="H171:T171">H173+H192+H186</f>
        <v>10565600</v>
      </c>
      <c r="I171" s="13">
        <f t="shared" si="49"/>
        <v>447000</v>
      </c>
      <c r="J171" s="13">
        <f t="shared" si="49"/>
        <v>850850</v>
      </c>
      <c r="K171" s="13">
        <f t="shared" si="49"/>
        <v>854900</v>
      </c>
      <c r="L171" s="13">
        <f t="shared" si="49"/>
        <v>1000100</v>
      </c>
      <c r="M171" s="13">
        <f t="shared" si="49"/>
        <v>956300</v>
      </c>
      <c r="N171" s="13">
        <f t="shared" si="49"/>
        <v>931550</v>
      </c>
      <c r="O171" s="13">
        <f t="shared" si="49"/>
        <v>920600</v>
      </c>
      <c r="P171" s="13">
        <f t="shared" si="49"/>
        <v>948300</v>
      </c>
      <c r="Q171" s="13">
        <f t="shared" si="49"/>
        <v>804150</v>
      </c>
      <c r="R171" s="13">
        <f t="shared" si="49"/>
        <v>807900</v>
      </c>
      <c r="S171" s="13">
        <f t="shared" si="49"/>
        <v>1027500</v>
      </c>
      <c r="T171" s="13">
        <f t="shared" si="49"/>
        <v>1016450</v>
      </c>
      <c r="U171" s="101"/>
      <c r="V171" s="87">
        <f>SUM(I171:T171)</f>
        <v>10565600</v>
      </c>
    </row>
    <row r="172" spans="1:22" ht="12.75">
      <c r="A172" s="60"/>
      <c r="B172" s="43"/>
      <c r="C172" s="12"/>
      <c r="D172" s="12"/>
      <c r="E172" s="12"/>
      <c r="F172" s="12"/>
      <c r="G172" s="31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104"/>
      <c r="V172" s="15"/>
    </row>
    <row r="173" spans="1:22" ht="75" customHeight="1">
      <c r="A173" s="62" t="s">
        <v>87</v>
      </c>
      <c r="B173" s="90" t="s">
        <v>147</v>
      </c>
      <c r="C173" s="37" t="s">
        <v>22</v>
      </c>
      <c r="D173" s="37">
        <v>63100000000</v>
      </c>
      <c r="E173" s="37"/>
      <c r="F173" s="37"/>
      <c r="G173" s="37"/>
      <c r="H173" s="13">
        <f>H174+H178+H179+H180+H182+H183+H185+H181+H184</f>
        <v>9305800</v>
      </c>
      <c r="I173" s="13">
        <f aca="true" t="shared" si="50" ref="I173:T173">I174+I178+I179+I180+I182+I183+I185+I181+I184</f>
        <v>447000</v>
      </c>
      <c r="J173" s="13">
        <f t="shared" si="50"/>
        <v>753100</v>
      </c>
      <c r="K173" s="13">
        <f t="shared" si="50"/>
        <v>769100</v>
      </c>
      <c r="L173" s="13">
        <f t="shared" si="50"/>
        <v>781100</v>
      </c>
      <c r="M173" s="13">
        <f t="shared" si="50"/>
        <v>776000</v>
      </c>
      <c r="N173" s="13">
        <f t="shared" si="50"/>
        <v>884600</v>
      </c>
      <c r="O173" s="13">
        <f t="shared" si="50"/>
        <v>862100</v>
      </c>
      <c r="P173" s="13">
        <f t="shared" si="50"/>
        <v>882100</v>
      </c>
      <c r="Q173" s="13">
        <f t="shared" si="50"/>
        <v>745100</v>
      </c>
      <c r="R173" s="13">
        <f t="shared" si="50"/>
        <v>766900</v>
      </c>
      <c r="S173" s="13">
        <f t="shared" si="50"/>
        <v>788400</v>
      </c>
      <c r="T173" s="13">
        <f t="shared" si="50"/>
        <v>850300</v>
      </c>
      <c r="U173" s="101"/>
      <c r="V173" s="87">
        <f>I173+J173+K173+L173+M173+N173+O173+P173+Q173+R173+S173+T173</f>
        <v>9305800</v>
      </c>
    </row>
    <row r="174" spans="7:22" ht="12.75" hidden="1">
      <c r="G174" s="31"/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100"/>
      <c r="V174" s="87">
        <f aca="true" t="shared" si="51" ref="V174:V185">I174+J174+K174+L174+M174+N174+O174+P174+Q174+R174+S174+T174</f>
        <v>0</v>
      </c>
    </row>
    <row r="175" spans="1:22" ht="12.75" hidden="1">
      <c r="A175" s="56"/>
      <c r="B175" s="63"/>
      <c r="C175" s="16" t="s">
        <v>22</v>
      </c>
      <c r="D175" s="16">
        <v>6470160020</v>
      </c>
      <c r="E175" s="16">
        <v>244</v>
      </c>
      <c r="F175" s="16">
        <v>225</v>
      </c>
      <c r="G175" s="31"/>
      <c r="H175" s="2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00"/>
      <c r="V175" s="87">
        <f t="shared" si="51"/>
        <v>0</v>
      </c>
    </row>
    <row r="176" spans="1:22" ht="12.75" hidden="1">
      <c r="A176" s="56"/>
      <c r="B176" s="63"/>
      <c r="C176" s="16" t="s">
        <v>22</v>
      </c>
      <c r="D176" s="16">
        <v>6470160050</v>
      </c>
      <c r="E176" s="16">
        <v>244</v>
      </c>
      <c r="F176" s="16">
        <v>225</v>
      </c>
      <c r="G176" s="31"/>
      <c r="H176" s="2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00"/>
      <c r="V176" s="87">
        <f t="shared" si="51"/>
        <v>0</v>
      </c>
    </row>
    <row r="177" spans="1:22" ht="12.75" hidden="1">
      <c r="A177" s="56"/>
      <c r="B177" s="63"/>
      <c r="C177" s="16" t="s">
        <v>22</v>
      </c>
      <c r="D177" s="16">
        <v>6470160170</v>
      </c>
      <c r="E177" s="16">
        <v>244</v>
      </c>
      <c r="F177" s="16">
        <v>225</v>
      </c>
      <c r="G177" s="31"/>
      <c r="H177" s="2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00"/>
      <c r="V177" s="87">
        <f t="shared" si="51"/>
        <v>0</v>
      </c>
    </row>
    <row r="178" spans="1:22" ht="102">
      <c r="A178" s="56" t="s">
        <v>87</v>
      </c>
      <c r="B178" s="109" t="s">
        <v>178</v>
      </c>
      <c r="C178" s="10" t="s">
        <v>22</v>
      </c>
      <c r="D178" s="38">
        <v>6310100590</v>
      </c>
      <c r="E178" s="10">
        <v>611</v>
      </c>
      <c r="F178" s="10">
        <v>111</v>
      </c>
      <c r="G178" s="31"/>
      <c r="H178" s="14">
        <v>5512200</v>
      </c>
      <c r="I178" s="14">
        <v>190000</v>
      </c>
      <c r="J178" s="14">
        <v>459400</v>
      </c>
      <c r="K178" s="14">
        <v>459400</v>
      </c>
      <c r="L178" s="14">
        <v>459400</v>
      </c>
      <c r="M178" s="14">
        <v>459400</v>
      </c>
      <c r="N178" s="14">
        <v>559400</v>
      </c>
      <c r="O178" s="14">
        <v>559400</v>
      </c>
      <c r="P178" s="14">
        <v>559400</v>
      </c>
      <c r="Q178" s="14">
        <v>459400</v>
      </c>
      <c r="R178" s="14">
        <v>459400</v>
      </c>
      <c r="S178" s="14">
        <f>617400-190000</f>
        <v>427400</v>
      </c>
      <c r="T178" s="14">
        <v>460200</v>
      </c>
      <c r="U178" s="100"/>
      <c r="V178" s="106">
        <f t="shared" si="51"/>
        <v>5512200</v>
      </c>
    </row>
    <row r="179" spans="1:22" ht="102">
      <c r="A179" s="56" t="s">
        <v>87</v>
      </c>
      <c r="B179" s="109" t="s">
        <v>179</v>
      </c>
      <c r="C179" s="10" t="s">
        <v>22</v>
      </c>
      <c r="D179" s="38">
        <v>6310100590</v>
      </c>
      <c r="E179" s="10">
        <v>611</v>
      </c>
      <c r="F179" s="10">
        <v>119</v>
      </c>
      <c r="G179" s="31"/>
      <c r="H179" s="14">
        <v>1664700</v>
      </c>
      <c r="I179" s="14">
        <v>55600</v>
      </c>
      <c r="J179" s="14">
        <v>138800</v>
      </c>
      <c r="K179" s="14">
        <v>138800</v>
      </c>
      <c r="L179" s="14">
        <v>138800</v>
      </c>
      <c r="M179" s="14">
        <v>138800</v>
      </c>
      <c r="N179" s="14">
        <v>155400</v>
      </c>
      <c r="O179" s="14">
        <v>155400</v>
      </c>
      <c r="P179" s="14">
        <v>155400</v>
      </c>
      <c r="Q179" s="14">
        <v>138800</v>
      </c>
      <c r="R179" s="14">
        <v>138800</v>
      </c>
      <c r="S179" s="14">
        <f>226700-55600</f>
        <v>171100</v>
      </c>
      <c r="T179" s="14">
        <v>139000</v>
      </c>
      <c r="U179" s="100"/>
      <c r="V179" s="106">
        <f t="shared" si="51"/>
        <v>1664700</v>
      </c>
    </row>
    <row r="180" spans="1:22" ht="89.25">
      <c r="A180" s="56" t="s">
        <v>87</v>
      </c>
      <c r="B180" s="48" t="s">
        <v>181</v>
      </c>
      <c r="C180" s="10" t="s">
        <v>22</v>
      </c>
      <c r="D180" s="38">
        <v>6310100590</v>
      </c>
      <c r="E180" s="10">
        <v>611</v>
      </c>
      <c r="F180" s="10">
        <v>221</v>
      </c>
      <c r="G180" s="63" t="s">
        <v>207</v>
      </c>
      <c r="H180" s="14">
        <v>45600</v>
      </c>
      <c r="I180" s="14">
        <v>3800</v>
      </c>
      <c r="J180" s="14">
        <v>3800</v>
      </c>
      <c r="K180" s="14">
        <v>3800</v>
      </c>
      <c r="L180" s="14">
        <v>3800</v>
      </c>
      <c r="M180" s="14">
        <v>3800</v>
      </c>
      <c r="N180" s="14">
        <v>3800</v>
      </c>
      <c r="O180" s="14">
        <v>3800</v>
      </c>
      <c r="P180" s="14">
        <v>3800</v>
      </c>
      <c r="Q180" s="14">
        <v>3800</v>
      </c>
      <c r="R180" s="14">
        <v>3800</v>
      </c>
      <c r="S180" s="14">
        <v>3800</v>
      </c>
      <c r="T180" s="14">
        <v>3800</v>
      </c>
      <c r="U180" s="100"/>
      <c r="V180" s="106">
        <f t="shared" si="51"/>
        <v>45600</v>
      </c>
    </row>
    <row r="181" spans="1:22" ht="114.75">
      <c r="A181" s="56" t="s">
        <v>87</v>
      </c>
      <c r="B181" s="110" t="s">
        <v>180</v>
      </c>
      <c r="C181" s="10" t="s">
        <v>22</v>
      </c>
      <c r="D181" s="38">
        <v>6310100590</v>
      </c>
      <c r="E181" s="10">
        <v>611</v>
      </c>
      <c r="F181" s="10">
        <v>223</v>
      </c>
      <c r="G181" s="63" t="s">
        <v>208</v>
      </c>
      <c r="H181" s="14">
        <v>632300</v>
      </c>
      <c r="I181" s="14">
        <v>72600</v>
      </c>
      <c r="J181" s="14">
        <v>72600</v>
      </c>
      <c r="K181" s="14">
        <v>52600</v>
      </c>
      <c r="L181" s="14">
        <v>52600</v>
      </c>
      <c r="M181" s="14">
        <v>46500</v>
      </c>
      <c r="N181" s="14">
        <v>30000</v>
      </c>
      <c r="O181" s="14">
        <v>30000</v>
      </c>
      <c r="P181" s="14">
        <v>30000</v>
      </c>
      <c r="Q181" s="14">
        <v>47600</v>
      </c>
      <c r="R181" s="14">
        <v>72600</v>
      </c>
      <c r="S181" s="14">
        <v>72600</v>
      </c>
      <c r="T181" s="14">
        <v>52600</v>
      </c>
      <c r="U181" s="100"/>
      <c r="V181" s="106">
        <f t="shared" si="51"/>
        <v>632300</v>
      </c>
    </row>
    <row r="182" spans="1:22" ht="114.75">
      <c r="A182" s="56" t="s">
        <v>87</v>
      </c>
      <c r="B182" s="48" t="s">
        <v>182</v>
      </c>
      <c r="C182" s="10" t="s">
        <v>22</v>
      </c>
      <c r="D182" s="38">
        <v>6310100590</v>
      </c>
      <c r="E182" s="10">
        <v>611</v>
      </c>
      <c r="F182" s="10">
        <v>290</v>
      </c>
      <c r="G182" s="31"/>
      <c r="H182" s="14">
        <v>100000</v>
      </c>
      <c r="I182" s="14">
        <v>40000</v>
      </c>
      <c r="J182" s="14">
        <v>0</v>
      </c>
      <c r="K182" s="14">
        <v>9000</v>
      </c>
      <c r="L182" s="14">
        <v>13000</v>
      </c>
      <c r="M182" s="14">
        <v>9000</v>
      </c>
      <c r="N182" s="14">
        <v>17500</v>
      </c>
      <c r="O182" s="14">
        <v>0</v>
      </c>
      <c r="P182" s="14">
        <v>9500</v>
      </c>
      <c r="Q182" s="14">
        <v>2000</v>
      </c>
      <c r="R182" s="14">
        <v>0</v>
      </c>
      <c r="S182" s="14">
        <v>0</v>
      </c>
      <c r="T182" s="14">
        <v>0</v>
      </c>
      <c r="U182" s="100"/>
      <c r="V182" s="106">
        <f t="shared" si="51"/>
        <v>100000</v>
      </c>
    </row>
    <row r="183" spans="1:22" ht="114.75">
      <c r="A183" s="56" t="s">
        <v>87</v>
      </c>
      <c r="B183" s="48" t="s">
        <v>183</v>
      </c>
      <c r="C183" s="10" t="s">
        <v>22</v>
      </c>
      <c r="D183" s="38">
        <v>6310100590</v>
      </c>
      <c r="E183" s="10">
        <v>611</v>
      </c>
      <c r="F183" s="10">
        <v>340</v>
      </c>
      <c r="G183" s="63" t="s">
        <v>79</v>
      </c>
      <c r="H183" s="14">
        <v>1048200</v>
      </c>
      <c r="I183" s="14">
        <v>60000</v>
      </c>
      <c r="J183" s="14">
        <v>60000</v>
      </c>
      <c r="K183" s="14">
        <v>85000</v>
      </c>
      <c r="L183" s="14">
        <v>85000</v>
      </c>
      <c r="M183" s="14">
        <v>90000</v>
      </c>
      <c r="N183" s="14">
        <v>90000</v>
      </c>
      <c r="O183" s="14">
        <v>80000</v>
      </c>
      <c r="P183" s="14">
        <v>87000</v>
      </c>
      <c r="Q183" s="14">
        <v>70000</v>
      </c>
      <c r="R183" s="14">
        <v>70000</v>
      </c>
      <c r="S183" s="14">
        <v>95000</v>
      </c>
      <c r="T183" s="14">
        <v>176200</v>
      </c>
      <c r="U183" s="100"/>
      <c r="V183" s="106">
        <f t="shared" si="51"/>
        <v>1048200</v>
      </c>
    </row>
    <row r="184" spans="1:22" ht="114.75">
      <c r="A184" s="56" t="s">
        <v>87</v>
      </c>
      <c r="B184" s="48" t="s">
        <v>184</v>
      </c>
      <c r="C184" s="10" t="s">
        <v>22</v>
      </c>
      <c r="D184" s="38">
        <v>6310100590</v>
      </c>
      <c r="E184" s="10">
        <v>611</v>
      </c>
      <c r="F184" s="10">
        <v>340</v>
      </c>
      <c r="G184" s="63" t="s">
        <v>209</v>
      </c>
      <c r="H184" s="14">
        <f>18200+37600+25000</f>
        <v>80800</v>
      </c>
      <c r="I184" s="14">
        <v>6500</v>
      </c>
      <c r="J184" s="14">
        <v>0</v>
      </c>
      <c r="K184" s="14">
        <v>2000</v>
      </c>
      <c r="L184" s="14">
        <v>10000</v>
      </c>
      <c r="M184" s="14">
        <v>10000</v>
      </c>
      <c r="N184" s="14">
        <v>10000</v>
      </c>
      <c r="O184" s="14">
        <v>15000</v>
      </c>
      <c r="P184" s="14">
        <v>18500</v>
      </c>
      <c r="Q184" s="14">
        <v>5000</v>
      </c>
      <c r="R184" s="14">
        <v>3800</v>
      </c>
      <c r="S184" s="14">
        <v>0</v>
      </c>
      <c r="T184" s="14">
        <v>0</v>
      </c>
      <c r="U184" s="100"/>
      <c r="V184" s="106">
        <f t="shared" si="51"/>
        <v>80800</v>
      </c>
    </row>
    <row r="185" spans="1:22" ht="114.75">
      <c r="A185" s="56" t="s">
        <v>87</v>
      </c>
      <c r="B185" s="48" t="s">
        <v>184</v>
      </c>
      <c r="C185" s="10" t="s">
        <v>22</v>
      </c>
      <c r="D185" s="38">
        <v>6310100590</v>
      </c>
      <c r="E185" s="10">
        <v>611</v>
      </c>
      <c r="F185" s="10">
        <v>226</v>
      </c>
      <c r="G185" s="63"/>
      <c r="H185" s="14">
        <f>80000+32000+100000+10000</f>
        <v>222000</v>
      </c>
      <c r="I185" s="14">
        <v>18500</v>
      </c>
      <c r="J185" s="14">
        <v>18500</v>
      </c>
      <c r="K185" s="14">
        <v>18500</v>
      </c>
      <c r="L185" s="14">
        <v>18500</v>
      </c>
      <c r="M185" s="14">
        <v>18500</v>
      </c>
      <c r="N185" s="14">
        <v>18500</v>
      </c>
      <c r="O185" s="14">
        <v>18500</v>
      </c>
      <c r="P185" s="14">
        <v>18500</v>
      </c>
      <c r="Q185" s="14">
        <v>18500</v>
      </c>
      <c r="R185" s="14">
        <v>18500</v>
      </c>
      <c r="S185" s="14">
        <v>18500</v>
      </c>
      <c r="T185" s="14">
        <v>18500</v>
      </c>
      <c r="U185" s="100"/>
      <c r="V185" s="106">
        <f t="shared" si="51"/>
        <v>222000</v>
      </c>
    </row>
    <row r="186" spans="1:22" ht="73.5" customHeight="1">
      <c r="A186" s="56" t="s">
        <v>87</v>
      </c>
      <c r="B186" s="90" t="s">
        <v>154</v>
      </c>
      <c r="C186" s="37" t="s">
        <v>22</v>
      </c>
      <c r="D186" s="37">
        <v>63200000000</v>
      </c>
      <c r="E186" s="37"/>
      <c r="F186" s="37"/>
      <c r="G186" s="90"/>
      <c r="H186" s="13">
        <f aca="true" t="shared" si="52" ref="H186:T186">H187+H188+H189+H190</f>
        <v>734800</v>
      </c>
      <c r="I186" s="13">
        <f t="shared" si="52"/>
        <v>0</v>
      </c>
      <c r="J186" s="13">
        <f t="shared" si="52"/>
        <v>97750</v>
      </c>
      <c r="K186" s="13">
        <f t="shared" si="52"/>
        <v>85800</v>
      </c>
      <c r="L186" s="13">
        <f t="shared" si="52"/>
        <v>56500</v>
      </c>
      <c r="M186" s="13">
        <f t="shared" si="52"/>
        <v>80300</v>
      </c>
      <c r="N186" s="13">
        <f t="shared" si="52"/>
        <v>46950</v>
      </c>
      <c r="O186" s="13">
        <f t="shared" si="52"/>
        <v>58500</v>
      </c>
      <c r="P186" s="13">
        <f t="shared" si="52"/>
        <v>66200</v>
      </c>
      <c r="Q186" s="13">
        <f t="shared" si="52"/>
        <v>59050</v>
      </c>
      <c r="R186" s="13">
        <f t="shared" si="52"/>
        <v>41000</v>
      </c>
      <c r="S186" s="13">
        <f t="shared" si="52"/>
        <v>79100</v>
      </c>
      <c r="T186" s="13">
        <f t="shared" si="52"/>
        <v>63650</v>
      </c>
      <c r="U186" s="100"/>
      <c r="V186" s="113">
        <f>T186+S186+R186+Q186+P186+O186+N186+M186+L186+K186+J186+I186</f>
        <v>734800</v>
      </c>
    </row>
    <row r="187" spans="1:22" ht="25.5" hidden="1">
      <c r="A187" s="56" t="s">
        <v>87</v>
      </c>
      <c r="B187" s="110" t="s">
        <v>168</v>
      </c>
      <c r="C187" s="10" t="s">
        <v>22</v>
      </c>
      <c r="D187" s="38">
        <v>6320110340</v>
      </c>
      <c r="E187" s="10">
        <v>247</v>
      </c>
      <c r="F187" s="10">
        <v>223</v>
      </c>
      <c r="G187" s="63"/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00"/>
      <c r="V187" s="15">
        <f>T187+S187+R187+Q187+P187+O187+N187+M187+L187+K187+J187+I187</f>
        <v>0</v>
      </c>
    </row>
    <row r="188" spans="1:22" ht="25.5">
      <c r="A188" s="56" t="s">
        <v>87</v>
      </c>
      <c r="B188" s="48" t="s">
        <v>157</v>
      </c>
      <c r="C188" s="10" t="s">
        <v>22</v>
      </c>
      <c r="D188" s="38">
        <v>6320110340</v>
      </c>
      <c r="E188" s="10">
        <v>244</v>
      </c>
      <c r="F188" s="10">
        <v>226</v>
      </c>
      <c r="G188" s="63"/>
      <c r="H188" s="14">
        <f>250000+150000+255800</f>
        <v>655800</v>
      </c>
      <c r="I188" s="14">
        <v>0</v>
      </c>
      <c r="J188" s="14">
        <v>93400</v>
      </c>
      <c r="K188" s="14">
        <v>81400</v>
      </c>
      <c r="L188" s="14">
        <v>53600</v>
      </c>
      <c r="M188" s="14">
        <v>57400</v>
      </c>
      <c r="N188" s="14">
        <v>20000</v>
      </c>
      <c r="O188" s="14">
        <v>55600</v>
      </c>
      <c r="P188" s="14">
        <v>63300</v>
      </c>
      <c r="Q188" s="14">
        <v>56100</v>
      </c>
      <c r="R188" s="14">
        <v>38100</v>
      </c>
      <c r="S188" s="14">
        <f>76200</f>
        <v>76200</v>
      </c>
      <c r="T188" s="14">
        <v>60700</v>
      </c>
      <c r="U188" s="100"/>
      <c r="V188" s="15">
        <f>T188+S188+R188+Q188+P188+O188+N188+M188+L188+K188+J188+I188</f>
        <v>655800</v>
      </c>
    </row>
    <row r="189" spans="1:22" ht="25.5">
      <c r="A189" s="56" t="s">
        <v>87</v>
      </c>
      <c r="B189" s="48" t="s">
        <v>157</v>
      </c>
      <c r="C189" s="10" t="s">
        <v>22</v>
      </c>
      <c r="D189" s="38">
        <v>6320110340</v>
      </c>
      <c r="E189" s="10">
        <v>244</v>
      </c>
      <c r="F189" s="10">
        <v>225</v>
      </c>
      <c r="G189" s="63"/>
      <c r="H189" s="14">
        <v>35000</v>
      </c>
      <c r="I189" s="14">
        <v>0</v>
      </c>
      <c r="J189" s="14">
        <v>4350</v>
      </c>
      <c r="K189" s="14">
        <v>4400</v>
      </c>
      <c r="L189" s="14">
        <v>2900</v>
      </c>
      <c r="M189" s="14">
        <v>2900</v>
      </c>
      <c r="N189" s="14">
        <v>2950</v>
      </c>
      <c r="O189" s="14">
        <v>2900</v>
      </c>
      <c r="P189" s="14">
        <v>2900</v>
      </c>
      <c r="Q189" s="14">
        <v>2950</v>
      </c>
      <c r="R189" s="14">
        <v>2900</v>
      </c>
      <c r="S189" s="14">
        <v>2900</v>
      </c>
      <c r="T189" s="14">
        <v>2950</v>
      </c>
      <c r="U189" s="100"/>
      <c r="V189" s="15">
        <f>T189+S189+R189+Q189+P189+O189+N189+M189+L189+K189+J189+I189</f>
        <v>35000</v>
      </c>
    </row>
    <row r="190" spans="1:22" ht="38.25">
      <c r="A190" s="56" t="s">
        <v>87</v>
      </c>
      <c r="B190" s="48" t="s">
        <v>158</v>
      </c>
      <c r="C190" s="10" t="s">
        <v>22</v>
      </c>
      <c r="D190" s="38">
        <v>6320110340</v>
      </c>
      <c r="E190" s="10">
        <v>244</v>
      </c>
      <c r="F190" s="10">
        <v>340</v>
      </c>
      <c r="G190" s="63"/>
      <c r="H190" s="14">
        <f>25000+19000</f>
        <v>44000</v>
      </c>
      <c r="I190" s="14">
        <v>0</v>
      </c>
      <c r="J190" s="14">
        <v>0</v>
      </c>
      <c r="K190" s="14">
        <v>0</v>
      </c>
      <c r="L190" s="14">
        <v>0</v>
      </c>
      <c r="M190" s="14">
        <v>20000</v>
      </c>
      <c r="N190" s="14">
        <v>24000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00"/>
      <c r="V190" s="15">
        <f>T190+S190+R190+Q190+P190+O190+N190+M190+L190+K190+J190+I190</f>
        <v>44000</v>
      </c>
    </row>
    <row r="191" spans="1:22" ht="12.75">
      <c r="A191" s="56"/>
      <c r="B191" s="63"/>
      <c r="C191" s="16"/>
      <c r="D191" s="16"/>
      <c r="E191" s="10"/>
      <c r="F191" s="16"/>
      <c r="G191" s="31"/>
      <c r="H191" s="29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 t="s">
        <v>94</v>
      </c>
      <c r="T191" s="14"/>
      <c r="U191" s="100"/>
      <c r="V191" s="15"/>
    </row>
    <row r="192" spans="1:22" ht="80.25" customHeight="1">
      <c r="A192" s="62" t="s">
        <v>87</v>
      </c>
      <c r="B192" s="90" t="s">
        <v>127</v>
      </c>
      <c r="C192" s="37" t="s">
        <v>22</v>
      </c>
      <c r="D192" s="37">
        <v>63300000000</v>
      </c>
      <c r="E192" s="37"/>
      <c r="F192" s="37"/>
      <c r="G192" s="37"/>
      <c r="H192" s="13">
        <f aca="true" t="shared" si="53" ref="H192:T192">H193</f>
        <v>525000</v>
      </c>
      <c r="I192" s="13">
        <f t="shared" si="53"/>
        <v>0</v>
      </c>
      <c r="J192" s="13">
        <f t="shared" si="53"/>
        <v>0</v>
      </c>
      <c r="K192" s="13">
        <f t="shared" si="53"/>
        <v>0</v>
      </c>
      <c r="L192" s="13">
        <f t="shared" si="53"/>
        <v>162500</v>
      </c>
      <c r="M192" s="13">
        <f t="shared" si="53"/>
        <v>100000</v>
      </c>
      <c r="N192" s="13">
        <f t="shared" si="53"/>
        <v>0</v>
      </c>
      <c r="O192" s="13">
        <f t="shared" si="53"/>
        <v>0</v>
      </c>
      <c r="P192" s="13">
        <f t="shared" si="53"/>
        <v>0</v>
      </c>
      <c r="Q192" s="13">
        <f t="shared" si="53"/>
        <v>0</v>
      </c>
      <c r="R192" s="13">
        <f t="shared" si="53"/>
        <v>0</v>
      </c>
      <c r="S192" s="13">
        <f t="shared" si="53"/>
        <v>160000</v>
      </c>
      <c r="T192" s="13">
        <f t="shared" si="53"/>
        <v>102500</v>
      </c>
      <c r="U192" s="101"/>
      <c r="V192" s="87">
        <f aca="true" t="shared" si="54" ref="V192:V204">SUM(I192:T192)</f>
        <v>525000</v>
      </c>
    </row>
    <row r="193" spans="1:22" ht="24.75" customHeight="1">
      <c r="A193" s="56" t="s">
        <v>87</v>
      </c>
      <c r="B193" s="48" t="s">
        <v>158</v>
      </c>
      <c r="C193" s="10" t="s">
        <v>22</v>
      </c>
      <c r="D193" s="10">
        <v>6330110350</v>
      </c>
      <c r="E193" s="10">
        <v>244</v>
      </c>
      <c r="F193" s="10">
        <v>225</v>
      </c>
      <c r="G193" s="31"/>
      <c r="H193" s="14">
        <v>525000</v>
      </c>
      <c r="I193" s="14">
        <v>0</v>
      </c>
      <c r="J193" s="14">
        <v>0</v>
      </c>
      <c r="K193" s="14">
        <v>0</v>
      </c>
      <c r="L193" s="14">
        <v>162500</v>
      </c>
      <c r="M193" s="14">
        <v>100000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160000</v>
      </c>
      <c r="T193" s="14">
        <v>102500</v>
      </c>
      <c r="U193" s="100"/>
      <c r="V193" s="15">
        <f t="shared" si="54"/>
        <v>525000</v>
      </c>
    </row>
    <row r="194" spans="1:22" ht="12.75">
      <c r="A194" s="56"/>
      <c r="B194" s="23"/>
      <c r="C194" s="16"/>
      <c r="D194" s="16"/>
      <c r="E194" s="16"/>
      <c r="F194" s="16"/>
      <c r="G194" s="31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00"/>
      <c r="V194" s="15">
        <f t="shared" si="54"/>
        <v>0</v>
      </c>
    </row>
    <row r="195" spans="1:22" ht="12.75" hidden="1">
      <c r="A195" s="56"/>
      <c r="B195" s="23"/>
      <c r="C195" s="16"/>
      <c r="D195" s="16"/>
      <c r="E195" s="16"/>
      <c r="F195" s="16"/>
      <c r="G195" s="31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00"/>
      <c r="V195" s="15">
        <f t="shared" si="54"/>
        <v>0</v>
      </c>
    </row>
    <row r="196" spans="1:22" ht="12.75" hidden="1">
      <c r="A196" s="56"/>
      <c r="B196" s="23"/>
      <c r="C196" s="16"/>
      <c r="D196" s="16"/>
      <c r="E196" s="16"/>
      <c r="F196" s="16"/>
      <c r="G196" s="31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00"/>
      <c r="V196" s="15">
        <f t="shared" si="54"/>
        <v>0</v>
      </c>
    </row>
    <row r="197" spans="1:22" ht="12.75" hidden="1">
      <c r="A197" s="56"/>
      <c r="B197" s="23"/>
      <c r="C197" s="16"/>
      <c r="D197" s="16"/>
      <c r="E197" s="16"/>
      <c r="F197" s="16"/>
      <c r="G197" s="31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00"/>
      <c r="V197" s="15">
        <f t="shared" si="54"/>
        <v>0</v>
      </c>
    </row>
    <row r="198" spans="1:22" ht="12.75" hidden="1">
      <c r="A198" s="56"/>
      <c r="B198" s="23"/>
      <c r="C198" s="16"/>
      <c r="D198" s="16"/>
      <c r="E198" s="16"/>
      <c r="F198" s="16"/>
      <c r="G198" s="31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00"/>
      <c r="V198" s="15">
        <f t="shared" si="54"/>
        <v>0</v>
      </c>
    </row>
    <row r="199" spans="1:22" ht="12.75" hidden="1">
      <c r="A199" s="56"/>
      <c r="B199" s="23"/>
      <c r="C199" s="16"/>
      <c r="D199" s="16"/>
      <c r="E199" s="16"/>
      <c r="F199" s="16"/>
      <c r="G199" s="31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00"/>
      <c r="V199" s="15">
        <f t="shared" si="54"/>
        <v>0</v>
      </c>
    </row>
    <row r="200" spans="1:22" ht="12.75" hidden="1">
      <c r="A200" s="56"/>
      <c r="B200" s="23"/>
      <c r="C200" s="16"/>
      <c r="D200" s="16"/>
      <c r="E200" s="16"/>
      <c r="F200" s="16"/>
      <c r="G200" s="31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00"/>
      <c r="V200" s="15">
        <f t="shared" si="54"/>
        <v>0</v>
      </c>
    </row>
    <row r="201" spans="1:22" ht="12.75" hidden="1">
      <c r="A201" s="56"/>
      <c r="B201" s="23"/>
      <c r="C201" s="16"/>
      <c r="D201" s="16"/>
      <c r="E201" s="16"/>
      <c r="F201" s="16"/>
      <c r="G201" s="31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00"/>
      <c r="V201" s="15">
        <f t="shared" si="54"/>
        <v>0</v>
      </c>
    </row>
    <row r="202" spans="1:22" ht="12.75" hidden="1">
      <c r="A202" s="56"/>
      <c r="B202" s="23"/>
      <c r="C202" s="16"/>
      <c r="D202" s="16"/>
      <c r="E202" s="16"/>
      <c r="F202" s="16"/>
      <c r="G202" s="31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00"/>
      <c r="V202" s="15">
        <f t="shared" si="54"/>
        <v>0</v>
      </c>
    </row>
    <row r="203" spans="1:22" ht="12.75" hidden="1">
      <c r="A203" s="56"/>
      <c r="B203" s="23"/>
      <c r="C203" s="16"/>
      <c r="D203" s="16"/>
      <c r="E203" s="16"/>
      <c r="F203" s="16"/>
      <c r="G203" s="31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00"/>
      <c r="V203" s="15">
        <f t="shared" si="54"/>
        <v>0</v>
      </c>
    </row>
    <row r="204" spans="1:22" ht="12.75" hidden="1">
      <c r="A204" s="60"/>
      <c r="B204" s="43"/>
      <c r="C204" s="12"/>
      <c r="D204" s="12"/>
      <c r="E204" s="12"/>
      <c r="F204" s="12"/>
      <c r="G204" s="31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104"/>
      <c r="V204" s="15">
        <f t="shared" si="54"/>
        <v>0</v>
      </c>
    </row>
    <row r="205" spans="1:22" ht="12.75">
      <c r="A205" s="60"/>
      <c r="B205" s="25" t="s">
        <v>45</v>
      </c>
      <c r="C205" s="25" t="s">
        <v>22</v>
      </c>
      <c r="D205" s="12"/>
      <c r="E205" s="12"/>
      <c r="F205" s="12"/>
      <c r="G205" s="31"/>
      <c r="H205" s="30">
        <f aca="true" t="shared" si="55" ref="H205:T205">H169+H192+H173+H186</f>
        <v>10615600</v>
      </c>
      <c r="I205" s="30">
        <f t="shared" si="55"/>
        <v>447000</v>
      </c>
      <c r="J205" s="30">
        <f t="shared" si="55"/>
        <v>850850</v>
      </c>
      <c r="K205" s="30">
        <f t="shared" si="55"/>
        <v>854900</v>
      </c>
      <c r="L205" s="30">
        <f t="shared" si="55"/>
        <v>1000100</v>
      </c>
      <c r="M205" s="30">
        <f t="shared" si="55"/>
        <v>956300</v>
      </c>
      <c r="N205" s="30">
        <f t="shared" si="55"/>
        <v>931550</v>
      </c>
      <c r="O205" s="30">
        <f t="shared" si="55"/>
        <v>920600</v>
      </c>
      <c r="P205" s="30">
        <f t="shared" si="55"/>
        <v>948300</v>
      </c>
      <c r="Q205" s="30">
        <f t="shared" si="55"/>
        <v>854150</v>
      </c>
      <c r="R205" s="30">
        <f t="shared" si="55"/>
        <v>807900</v>
      </c>
      <c r="S205" s="30">
        <f t="shared" si="55"/>
        <v>1027500</v>
      </c>
      <c r="T205" s="30">
        <f t="shared" si="55"/>
        <v>1016450</v>
      </c>
      <c r="U205" s="102"/>
      <c r="V205" s="47">
        <f>V192+V186+V173+V169</f>
        <v>10615600</v>
      </c>
    </row>
    <row r="206" spans="1:22" ht="12.75">
      <c r="A206" s="60"/>
      <c r="B206" s="43"/>
      <c r="C206" s="12"/>
      <c r="D206" s="12"/>
      <c r="E206" s="12"/>
      <c r="F206" s="12"/>
      <c r="G206" s="31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104"/>
      <c r="V206" s="15">
        <f>SUM(I206:T206)</f>
        <v>0</v>
      </c>
    </row>
    <row r="207" spans="1:22" ht="13.5" customHeight="1">
      <c r="A207" s="66"/>
      <c r="B207" s="92" t="s">
        <v>62</v>
      </c>
      <c r="C207" s="68"/>
      <c r="D207" s="68"/>
      <c r="E207" s="68"/>
      <c r="F207" s="68"/>
      <c r="G207" s="69"/>
      <c r="H207" s="42">
        <f aca="true" t="shared" si="56" ref="H207:T207">H205+H167</f>
        <v>10835600</v>
      </c>
      <c r="I207" s="42">
        <f t="shared" si="56"/>
        <v>447000</v>
      </c>
      <c r="J207" s="42">
        <f t="shared" si="56"/>
        <v>850850</v>
      </c>
      <c r="K207" s="42">
        <f t="shared" si="56"/>
        <v>854900</v>
      </c>
      <c r="L207" s="42">
        <f t="shared" si="56"/>
        <v>1000100</v>
      </c>
      <c r="M207" s="42">
        <f t="shared" si="56"/>
        <v>956300</v>
      </c>
      <c r="N207" s="42">
        <f t="shared" si="56"/>
        <v>931550</v>
      </c>
      <c r="O207" s="42">
        <f t="shared" si="56"/>
        <v>970600</v>
      </c>
      <c r="P207" s="42">
        <f t="shared" si="56"/>
        <v>998300</v>
      </c>
      <c r="Q207" s="42">
        <f t="shared" si="56"/>
        <v>964150</v>
      </c>
      <c r="R207" s="42">
        <f t="shared" si="56"/>
        <v>807900</v>
      </c>
      <c r="S207" s="42">
        <f t="shared" si="56"/>
        <v>1037500</v>
      </c>
      <c r="T207" s="42">
        <f t="shared" si="56"/>
        <v>1016450</v>
      </c>
      <c r="U207" s="104"/>
      <c r="V207" s="50">
        <f>V205+V167</f>
        <v>10835600</v>
      </c>
    </row>
    <row r="208" spans="1:22" ht="13.5" customHeight="1">
      <c r="A208" s="60"/>
      <c r="B208" s="43"/>
      <c r="C208" s="12"/>
      <c r="D208" s="12"/>
      <c r="E208" s="12"/>
      <c r="F208" s="12"/>
      <c r="G208" s="31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104"/>
      <c r="V208" s="50"/>
    </row>
    <row r="209" spans="1:22" s="3" customFormat="1" ht="51">
      <c r="A209" s="62" t="s">
        <v>87</v>
      </c>
      <c r="B209" s="90" t="s">
        <v>52</v>
      </c>
      <c r="C209" s="37" t="s">
        <v>106</v>
      </c>
      <c r="D209" s="37">
        <v>5230000000</v>
      </c>
      <c r="E209" s="37"/>
      <c r="F209" s="37"/>
      <c r="G209" s="37"/>
      <c r="H209" s="13">
        <f>H210</f>
        <v>20000</v>
      </c>
      <c r="I209" s="13">
        <v>0</v>
      </c>
      <c r="J209" s="13">
        <v>0</v>
      </c>
      <c r="K209" s="13">
        <f>K210</f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01"/>
      <c r="V209" s="87">
        <f>K209</f>
        <v>0</v>
      </c>
    </row>
    <row r="210" spans="1:22" ht="25.5">
      <c r="A210" s="56" t="s">
        <v>87</v>
      </c>
      <c r="B210" s="48" t="s">
        <v>157</v>
      </c>
      <c r="C210" s="10" t="s">
        <v>106</v>
      </c>
      <c r="D210" s="23">
        <v>5230200590</v>
      </c>
      <c r="E210" s="10">
        <v>244</v>
      </c>
      <c r="F210" s="10">
        <v>226</v>
      </c>
      <c r="G210" s="31"/>
      <c r="H210" s="14">
        <v>20000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20000</v>
      </c>
      <c r="T210" s="14">
        <v>0</v>
      </c>
      <c r="U210" s="100"/>
      <c r="V210" s="15">
        <f>SUM(I210:T210)</f>
        <v>20000</v>
      </c>
    </row>
    <row r="211" spans="1:22" ht="51">
      <c r="A211" s="62" t="s">
        <v>87</v>
      </c>
      <c r="B211" s="90" t="s">
        <v>118</v>
      </c>
      <c r="C211" s="37" t="s">
        <v>106</v>
      </c>
      <c r="D211" s="37">
        <v>6400000000</v>
      </c>
      <c r="E211" s="37"/>
      <c r="F211" s="37"/>
      <c r="G211" s="37"/>
      <c r="H211" s="13">
        <f aca="true" t="shared" si="57" ref="H211:T211">H212</f>
        <v>20000</v>
      </c>
      <c r="I211" s="13">
        <f t="shared" si="57"/>
        <v>0</v>
      </c>
      <c r="J211" s="13">
        <f t="shared" si="57"/>
        <v>0</v>
      </c>
      <c r="K211" s="13">
        <f t="shared" si="57"/>
        <v>0</v>
      </c>
      <c r="L211" s="13">
        <f t="shared" si="57"/>
        <v>0</v>
      </c>
      <c r="M211" s="13">
        <f t="shared" si="57"/>
        <v>0</v>
      </c>
      <c r="N211" s="13">
        <f t="shared" si="57"/>
        <v>0</v>
      </c>
      <c r="O211" s="13">
        <f t="shared" si="57"/>
        <v>0</v>
      </c>
      <c r="P211" s="13">
        <f t="shared" si="57"/>
        <v>0</v>
      </c>
      <c r="Q211" s="13">
        <f t="shared" si="57"/>
        <v>0</v>
      </c>
      <c r="R211" s="13">
        <f t="shared" si="57"/>
        <v>0</v>
      </c>
      <c r="S211" s="13">
        <f t="shared" si="57"/>
        <v>20000</v>
      </c>
      <c r="T211" s="13">
        <f t="shared" si="57"/>
        <v>0</v>
      </c>
      <c r="U211" s="101"/>
      <c r="V211" s="87">
        <f>SUM(I211:T211)</f>
        <v>20000</v>
      </c>
    </row>
    <row r="212" spans="1:22" ht="25.5">
      <c r="A212" s="56" t="s">
        <v>87</v>
      </c>
      <c r="B212" s="48" t="s">
        <v>157</v>
      </c>
      <c r="C212" s="10" t="s">
        <v>106</v>
      </c>
      <c r="D212" s="10">
        <v>6410110120</v>
      </c>
      <c r="E212" s="10">
        <v>244</v>
      </c>
      <c r="F212" s="10">
        <v>226</v>
      </c>
      <c r="G212" s="14"/>
      <c r="H212" s="14">
        <v>20000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20000</v>
      </c>
      <c r="T212" s="14">
        <v>0</v>
      </c>
      <c r="U212" s="100"/>
      <c r="V212" s="15">
        <f>SUM(I212:T212)</f>
        <v>20000</v>
      </c>
    </row>
    <row r="213" spans="1:22" ht="16.5" customHeight="1">
      <c r="A213" s="56"/>
      <c r="B213" s="23"/>
      <c r="C213" s="10"/>
      <c r="D213" s="10"/>
      <c r="E213" s="10"/>
      <c r="F213" s="10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00"/>
      <c r="V213" s="15">
        <f>SUM(I213:T213)</f>
        <v>0</v>
      </c>
    </row>
    <row r="214" spans="1:22" ht="12.75">
      <c r="A214" s="56"/>
      <c r="B214" s="25" t="s">
        <v>45</v>
      </c>
      <c r="C214" s="61" t="s">
        <v>106</v>
      </c>
      <c r="D214" s="23"/>
      <c r="E214" s="31"/>
      <c r="F214" s="31"/>
      <c r="G214" s="31"/>
      <c r="H214" s="30">
        <f aca="true" t="shared" si="58" ref="H214:T214">H210+H212</f>
        <v>40000</v>
      </c>
      <c r="I214" s="30">
        <f t="shared" si="58"/>
        <v>0</v>
      </c>
      <c r="J214" s="30">
        <f t="shared" si="58"/>
        <v>0</v>
      </c>
      <c r="K214" s="30">
        <f t="shared" si="58"/>
        <v>0</v>
      </c>
      <c r="L214" s="30">
        <f t="shared" si="58"/>
        <v>0</v>
      </c>
      <c r="M214" s="30">
        <f t="shared" si="58"/>
        <v>0</v>
      </c>
      <c r="N214" s="30">
        <f t="shared" si="58"/>
        <v>0</v>
      </c>
      <c r="O214" s="30">
        <f t="shared" si="58"/>
        <v>0</v>
      </c>
      <c r="P214" s="30">
        <f t="shared" si="58"/>
        <v>0</v>
      </c>
      <c r="Q214" s="30">
        <f t="shared" si="58"/>
        <v>0</v>
      </c>
      <c r="R214" s="30">
        <f t="shared" si="58"/>
        <v>0</v>
      </c>
      <c r="S214" s="30">
        <f t="shared" si="58"/>
        <v>40000</v>
      </c>
      <c r="T214" s="30">
        <f t="shared" si="58"/>
        <v>0</v>
      </c>
      <c r="U214" s="102"/>
      <c r="V214" s="47">
        <f>SUM(I214:T214)</f>
        <v>40000</v>
      </c>
    </row>
    <row r="215" spans="1:22" ht="12.75">
      <c r="A215" s="56"/>
      <c r="B215" s="25"/>
      <c r="C215" s="61"/>
      <c r="D215" s="23"/>
      <c r="E215" s="31"/>
      <c r="F215" s="31"/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102"/>
      <c r="V215" s="47"/>
    </row>
    <row r="216" spans="1:22" ht="12.75">
      <c r="A216" s="66"/>
      <c r="B216" s="92" t="s">
        <v>63</v>
      </c>
      <c r="C216" s="44"/>
      <c r="D216" s="44"/>
      <c r="E216" s="44"/>
      <c r="F216" s="44"/>
      <c r="G216" s="45"/>
      <c r="H216" s="42">
        <f aca="true" t="shared" si="59" ref="H216:T216">H214</f>
        <v>40000</v>
      </c>
      <c r="I216" s="42">
        <f t="shared" si="59"/>
        <v>0</v>
      </c>
      <c r="J216" s="42">
        <f t="shared" si="59"/>
        <v>0</v>
      </c>
      <c r="K216" s="42">
        <f t="shared" si="59"/>
        <v>0</v>
      </c>
      <c r="L216" s="42">
        <f t="shared" si="59"/>
        <v>0</v>
      </c>
      <c r="M216" s="42">
        <f t="shared" si="59"/>
        <v>0</v>
      </c>
      <c r="N216" s="42">
        <f t="shared" si="59"/>
        <v>0</v>
      </c>
      <c r="O216" s="42">
        <f t="shared" si="59"/>
        <v>0</v>
      </c>
      <c r="P216" s="42">
        <f t="shared" si="59"/>
        <v>0</v>
      </c>
      <c r="Q216" s="42">
        <f t="shared" si="59"/>
        <v>0</v>
      </c>
      <c r="R216" s="42">
        <f t="shared" si="59"/>
        <v>0</v>
      </c>
      <c r="S216" s="42">
        <f t="shared" si="59"/>
        <v>40000</v>
      </c>
      <c r="T216" s="42">
        <f t="shared" si="59"/>
        <v>0</v>
      </c>
      <c r="U216" s="104"/>
      <c r="V216" s="50">
        <f>SUM(I216:T216)</f>
        <v>40000</v>
      </c>
    </row>
    <row r="217" spans="1:22" ht="12.75">
      <c r="A217" s="60"/>
      <c r="B217" s="43"/>
      <c r="C217" s="16"/>
      <c r="D217" s="16"/>
      <c r="E217" s="16"/>
      <c r="F217" s="16"/>
      <c r="G217" s="10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00"/>
      <c r="V217" s="15">
        <f>SUM(I217:T217)</f>
        <v>0</v>
      </c>
    </row>
    <row r="218" spans="1:22" ht="66.75" customHeight="1">
      <c r="A218" s="62" t="s">
        <v>87</v>
      </c>
      <c r="B218" s="90" t="s">
        <v>128</v>
      </c>
      <c r="C218" s="37" t="s">
        <v>23</v>
      </c>
      <c r="D218" s="37">
        <v>6600000000</v>
      </c>
      <c r="E218" s="36"/>
      <c r="F218" s="36"/>
      <c r="G218" s="37"/>
      <c r="H218" s="13">
        <f aca="true" t="shared" si="60" ref="H218:T218">H221+H244+H259</f>
        <v>13573700</v>
      </c>
      <c r="I218" s="13">
        <f t="shared" si="60"/>
        <v>500800</v>
      </c>
      <c r="J218" s="13">
        <f t="shared" si="60"/>
        <v>1184200</v>
      </c>
      <c r="K218" s="13">
        <f t="shared" si="60"/>
        <v>1183900</v>
      </c>
      <c r="L218" s="13">
        <f t="shared" si="60"/>
        <v>1094000</v>
      </c>
      <c r="M218" s="13">
        <f t="shared" si="60"/>
        <v>1092000</v>
      </c>
      <c r="N218" s="13">
        <f t="shared" si="60"/>
        <v>1188500</v>
      </c>
      <c r="O218" s="13">
        <f t="shared" si="60"/>
        <v>1136500</v>
      </c>
      <c r="P218" s="13">
        <f t="shared" si="60"/>
        <v>1166500</v>
      </c>
      <c r="Q218" s="13">
        <f t="shared" si="60"/>
        <v>1057300</v>
      </c>
      <c r="R218" s="13">
        <f t="shared" si="60"/>
        <v>1434600</v>
      </c>
      <c r="S218" s="13">
        <f t="shared" si="60"/>
        <v>1382600</v>
      </c>
      <c r="T218" s="13">
        <f t="shared" si="60"/>
        <v>1152800</v>
      </c>
      <c r="U218" s="101"/>
      <c r="V218" s="87">
        <f>SUM(I218:T218)</f>
        <v>13573700</v>
      </c>
    </row>
    <row r="219" spans="1:22" ht="12.75">
      <c r="A219" s="60"/>
      <c r="B219" s="43"/>
      <c r="C219" s="12"/>
      <c r="D219" s="12"/>
      <c r="E219" s="12"/>
      <c r="F219" s="12"/>
      <c r="G219" s="31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104"/>
      <c r="V219" s="15">
        <f>SUM(I219:T219)</f>
        <v>0</v>
      </c>
    </row>
    <row r="220" spans="1:22" ht="12.75">
      <c r="A220" s="60"/>
      <c r="B220" s="43"/>
      <c r="C220" s="16"/>
      <c r="D220" s="16"/>
      <c r="E220" s="16"/>
      <c r="F220" s="16"/>
      <c r="G220" s="10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00"/>
      <c r="V220" s="15">
        <f>SUM(I220:T220)</f>
        <v>0</v>
      </c>
    </row>
    <row r="221" spans="1:22" ht="76.5">
      <c r="A221" s="62" t="s">
        <v>87</v>
      </c>
      <c r="B221" s="90" t="s">
        <v>129</v>
      </c>
      <c r="C221" s="37" t="s">
        <v>23</v>
      </c>
      <c r="D221" s="37">
        <v>6610000000</v>
      </c>
      <c r="E221" s="36"/>
      <c r="F221" s="36"/>
      <c r="G221" s="37"/>
      <c r="H221" s="13">
        <f>H222+H223+H224+H225+H226+H227+H228+H229+H230+H237+H241+H242+H243</f>
        <v>9706200</v>
      </c>
      <c r="I221" s="13">
        <f aca="true" t="shared" si="61" ref="I221:V221">I222+I223+I224+I225+I226+I227+I228+I229+I230+I237+I241+I242+I243</f>
        <v>500800</v>
      </c>
      <c r="J221" s="13">
        <f t="shared" si="61"/>
        <v>851700</v>
      </c>
      <c r="K221" s="13">
        <f t="shared" si="61"/>
        <v>841200</v>
      </c>
      <c r="L221" s="13">
        <f t="shared" si="61"/>
        <v>751100</v>
      </c>
      <c r="M221" s="13">
        <f t="shared" si="61"/>
        <v>741600</v>
      </c>
      <c r="N221" s="13">
        <f t="shared" si="61"/>
        <v>872300</v>
      </c>
      <c r="O221" s="13">
        <f t="shared" si="61"/>
        <v>820300</v>
      </c>
      <c r="P221" s="13">
        <f t="shared" si="61"/>
        <v>850300</v>
      </c>
      <c r="Q221" s="13">
        <f t="shared" si="61"/>
        <v>740100</v>
      </c>
      <c r="R221" s="13">
        <f t="shared" si="61"/>
        <v>958400</v>
      </c>
      <c r="S221" s="13">
        <f t="shared" si="61"/>
        <v>971100</v>
      </c>
      <c r="T221" s="13">
        <f t="shared" si="61"/>
        <v>807300</v>
      </c>
      <c r="U221" s="34"/>
      <c r="V221" s="13">
        <f t="shared" si="61"/>
        <v>9706200</v>
      </c>
    </row>
    <row r="222" spans="1:22" ht="96" customHeight="1">
      <c r="A222" s="56" t="s">
        <v>87</v>
      </c>
      <c r="B222" s="109" t="s">
        <v>178</v>
      </c>
      <c r="C222" s="10" t="s">
        <v>23</v>
      </c>
      <c r="D222" s="10">
        <v>6610100590</v>
      </c>
      <c r="E222" s="10">
        <v>611</v>
      </c>
      <c r="F222" s="10">
        <v>211</v>
      </c>
      <c r="G222" s="63" t="s">
        <v>75</v>
      </c>
      <c r="H222" s="14">
        <v>5962600</v>
      </c>
      <c r="I222" s="14">
        <v>198800</v>
      </c>
      <c r="J222" s="14">
        <v>496900</v>
      </c>
      <c r="K222" s="14">
        <v>496900</v>
      </c>
      <c r="L222" s="14">
        <v>496900</v>
      </c>
      <c r="M222" s="14">
        <v>496900</v>
      </c>
      <c r="N222" s="14">
        <f>496900+97900</f>
        <v>594800</v>
      </c>
      <c r="O222" s="14">
        <f>496900+50000</f>
        <v>546900</v>
      </c>
      <c r="P222" s="14">
        <f>496900+50000</f>
        <v>546900</v>
      </c>
      <c r="Q222" s="14">
        <v>496900</v>
      </c>
      <c r="R222" s="14">
        <v>496900</v>
      </c>
      <c r="S222" s="14">
        <v>596900</v>
      </c>
      <c r="T222" s="14">
        <v>496900</v>
      </c>
      <c r="U222" s="100"/>
      <c r="V222" s="15">
        <f aca="true" t="shared" si="62" ref="V222:V266">SUM(I222:T222)</f>
        <v>5962600</v>
      </c>
    </row>
    <row r="223" spans="1:22" ht="101.25" customHeight="1">
      <c r="A223" s="56" t="s">
        <v>87</v>
      </c>
      <c r="B223" s="109" t="s">
        <v>179</v>
      </c>
      <c r="C223" s="10" t="s">
        <v>23</v>
      </c>
      <c r="D223" s="10">
        <v>6610100590</v>
      </c>
      <c r="E223" s="10">
        <v>611</v>
      </c>
      <c r="F223" s="10">
        <v>213</v>
      </c>
      <c r="G223" s="63" t="s">
        <v>75</v>
      </c>
      <c r="H223" s="14">
        <v>1800700</v>
      </c>
      <c r="I223" s="14">
        <v>60000</v>
      </c>
      <c r="J223" s="14">
        <v>150100</v>
      </c>
      <c r="K223" s="14">
        <v>150100</v>
      </c>
      <c r="L223" s="14">
        <v>150100</v>
      </c>
      <c r="M223" s="14">
        <v>150100</v>
      </c>
      <c r="N223" s="14">
        <f>150100+23300</f>
        <v>173400</v>
      </c>
      <c r="O223" s="14">
        <f>150100+23300</f>
        <v>173400</v>
      </c>
      <c r="P223" s="14">
        <f>150100+23300</f>
        <v>173400</v>
      </c>
      <c r="Q223" s="14">
        <v>150100</v>
      </c>
      <c r="R223" s="14">
        <v>150100</v>
      </c>
      <c r="S223" s="14">
        <f>150100+19700</f>
        <v>169800</v>
      </c>
      <c r="T223" s="14">
        <v>150100</v>
      </c>
      <c r="U223" s="100"/>
      <c r="V223" s="15">
        <f t="shared" si="62"/>
        <v>1800700</v>
      </c>
    </row>
    <row r="224" spans="1:22" ht="124.5" customHeight="1">
      <c r="A224" s="56" t="s">
        <v>87</v>
      </c>
      <c r="B224" s="48" t="s">
        <v>194</v>
      </c>
      <c r="C224" s="10" t="s">
        <v>23</v>
      </c>
      <c r="D224" s="10">
        <v>6610100590</v>
      </c>
      <c r="E224" s="38">
        <v>611</v>
      </c>
      <c r="F224" s="38">
        <v>221</v>
      </c>
      <c r="G224" s="38" t="s">
        <v>212</v>
      </c>
      <c r="H224" s="29">
        <v>100800</v>
      </c>
      <c r="I224" s="14">
        <v>8400</v>
      </c>
      <c r="J224" s="14">
        <v>8400</v>
      </c>
      <c r="K224" s="14">
        <v>8400</v>
      </c>
      <c r="L224" s="14">
        <v>8400</v>
      </c>
      <c r="M224" s="14">
        <v>8400</v>
      </c>
      <c r="N224" s="14">
        <v>8400</v>
      </c>
      <c r="O224" s="14">
        <v>8400</v>
      </c>
      <c r="P224" s="14">
        <v>8400</v>
      </c>
      <c r="Q224" s="14">
        <v>8400</v>
      </c>
      <c r="R224" s="14">
        <v>8400</v>
      </c>
      <c r="S224" s="14">
        <v>8400</v>
      </c>
      <c r="T224" s="14">
        <v>8400</v>
      </c>
      <c r="U224" s="100"/>
      <c r="V224" s="15">
        <f t="shared" si="62"/>
        <v>100800</v>
      </c>
    </row>
    <row r="225" spans="1:22" ht="53.25" customHeight="1">
      <c r="A225" s="56" t="s">
        <v>87</v>
      </c>
      <c r="B225" s="48" t="s">
        <v>169</v>
      </c>
      <c r="C225" s="10" t="s">
        <v>23</v>
      </c>
      <c r="D225" s="10">
        <v>6610100590</v>
      </c>
      <c r="E225" s="38">
        <v>611</v>
      </c>
      <c r="F225" s="38">
        <v>221</v>
      </c>
      <c r="G225" s="38" t="s">
        <v>211</v>
      </c>
      <c r="H225" s="29">
        <v>37200</v>
      </c>
      <c r="I225" s="14">
        <v>3100</v>
      </c>
      <c r="J225" s="14">
        <v>3100</v>
      </c>
      <c r="K225" s="14">
        <v>3100</v>
      </c>
      <c r="L225" s="14">
        <v>3100</v>
      </c>
      <c r="M225" s="14">
        <v>3100</v>
      </c>
      <c r="N225" s="14">
        <v>3100</v>
      </c>
      <c r="O225" s="14">
        <v>3100</v>
      </c>
      <c r="P225" s="14">
        <v>3100</v>
      </c>
      <c r="Q225" s="14">
        <v>3100</v>
      </c>
      <c r="R225" s="14">
        <v>3100</v>
      </c>
      <c r="S225" s="14">
        <v>3100</v>
      </c>
      <c r="T225" s="14">
        <v>3100</v>
      </c>
      <c r="U225" s="100"/>
      <c r="V225" s="15">
        <f t="shared" si="62"/>
        <v>37200</v>
      </c>
    </row>
    <row r="226" spans="1:22" ht="79.5" customHeight="1">
      <c r="A226" s="56" t="s">
        <v>87</v>
      </c>
      <c r="B226" s="110" t="s">
        <v>180</v>
      </c>
      <c r="C226" s="10" t="s">
        <v>23</v>
      </c>
      <c r="D226" s="10">
        <v>6610100590</v>
      </c>
      <c r="E226" s="38">
        <v>611</v>
      </c>
      <c r="F226" s="38">
        <v>223</v>
      </c>
      <c r="G226" s="70" t="s">
        <v>210</v>
      </c>
      <c r="H226" s="29">
        <v>233700</v>
      </c>
      <c r="I226" s="14">
        <v>19200</v>
      </c>
      <c r="J226" s="14">
        <f>19500+9500</f>
        <v>29000</v>
      </c>
      <c r="K226" s="14">
        <v>19500</v>
      </c>
      <c r="L226" s="14">
        <v>19500</v>
      </c>
      <c r="M226" s="14">
        <v>10000</v>
      </c>
      <c r="N226" s="14">
        <v>10000</v>
      </c>
      <c r="O226" s="14">
        <v>10000</v>
      </c>
      <c r="P226" s="14">
        <v>10000</v>
      </c>
      <c r="Q226" s="14">
        <v>19500</v>
      </c>
      <c r="R226" s="14">
        <f>19500+9500</f>
        <v>29000</v>
      </c>
      <c r="S226" s="14">
        <f>19500+9500</f>
        <v>29000</v>
      </c>
      <c r="T226" s="14">
        <f>19500+9500</f>
        <v>29000</v>
      </c>
      <c r="U226" s="100"/>
      <c r="V226" s="15">
        <f t="shared" si="62"/>
        <v>233700</v>
      </c>
    </row>
    <row r="227" spans="1:22" ht="110.25" customHeight="1">
      <c r="A227" s="56" t="s">
        <v>87</v>
      </c>
      <c r="B227" s="48" t="s">
        <v>185</v>
      </c>
      <c r="C227" s="10" t="s">
        <v>23</v>
      </c>
      <c r="D227" s="10">
        <v>6610100590</v>
      </c>
      <c r="E227" s="38">
        <v>611</v>
      </c>
      <c r="F227" s="38">
        <v>223</v>
      </c>
      <c r="G227" s="70" t="s">
        <v>213</v>
      </c>
      <c r="H227" s="29">
        <v>25900</v>
      </c>
      <c r="I227" s="14">
        <v>1300</v>
      </c>
      <c r="J227" s="14">
        <v>1500</v>
      </c>
      <c r="K227" s="14">
        <v>2100</v>
      </c>
      <c r="L227" s="14">
        <v>2100</v>
      </c>
      <c r="M227" s="14">
        <v>2100</v>
      </c>
      <c r="N227" s="14">
        <v>3000</v>
      </c>
      <c r="O227" s="14">
        <v>3000</v>
      </c>
      <c r="P227" s="14">
        <v>3000</v>
      </c>
      <c r="Q227" s="14">
        <v>2100</v>
      </c>
      <c r="R227" s="14">
        <v>2100</v>
      </c>
      <c r="S227" s="14">
        <v>2100</v>
      </c>
      <c r="T227" s="14">
        <v>1500</v>
      </c>
      <c r="U227" s="100"/>
      <c r="V227" s="15">
        <f t="shared" si="62"/>
        <v>25900</v>
      </c>
    </row>
    <row r="228" spans="1:22" ht="100.5" customHeight="1">
      <c r="A228" s="56" t="s">
        <v>87</v>
      </c>
      <c r="B228" s="110" t="s">
        <v>180</v>
      </c>
      <c r="C228" s="10" t="s">
        <v>23</v>
      </c>
      <c r="D228" s="10">
        <v>6610100590</v>
      </c>
      <c r="E228" s="38">
        <v>611</v>
      </c>
      <c r="F228" s="38">
        <v>223</v>
      </c>
      <c r="G228" s="70" t="s">
        <v>65</v>
      </c>
      <c r="H228" s="29">
        <v>604000</v>
      </c>
      <c r="I228" s="14">
        <v>95100</v>
      </c>
      <c r="J228" s="14">
        <v>91900</v>
      </c>
      <c r="K228" s="14">
        <v>90000</v>
      </c>
      <c r="L228" s="14">
        <v>60000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67000</v>
      </c>
      <c r="S228" s="14">
        <v>100000</v>
      </c>
      <c r="T228" s="14">
        <v>100000</v>
      </c>
      <c r="U228" s="100"/>
      <c r="V228" s="15">
        <f t="shared" si="62"/>
        <v>604000</v>
      </c>
    </row>
    <row r="229" spans="1:22" ht="100.5" customHeight="1">
      <c r="A229" s="56" t="s">
        <v>87</v>
      </c>
      <c r="B229" s="110" t="s">
        <v>180</v>
      </c>
      <c r="C229" s="10" t="s">
        <v>23</v>
      </c>
      <c r="D229" s="10">
        <v>6610100590</v>
      </c>
      <c r="E229" s="38">
        <v>611</v>
      </c>
      <c r="F229" s="38">
        <v>223</v>
      </c>
      <c r="G229" s="70" t="s">
        <v>214</v>
      </c>
      <c r="H229" s="29">
        <v>91600</v>
      </c>
      <c r="I229" s="14">
        <v>18300</v>
      </c>
      <c r="J229" s="14">
        <v>18300</v>
      </c>
      <c r="K229" s="14">
        <v>10000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8400</v>
      </c>
      <c r="S229" s="14">
        <v>18300</v>
      </c>
      <c r="T229" s="14">
        <v>18300</v>
      </c>
      <c r="U229" s="100"/>
      <c r="V229" s="15">
        <f t="shared" si="62"/>
        <v>91600</v>
      </c>
    </row>
    <row r="230" spans="1:22" ht="114" customHeight="1">
      <c r="A230" s="56" t="s">
        <v>87</v>
      </c>
      <c r="B230" s="48" t="s">
        <v>184</v>
      </c>
      <c r="C230" s="10" t="s">
        <v>23</v>
      </c>
      <c r="D230" s="10">
        <v>6610100590</v>
      </c>
      <c r="E230" s="38">
        <v>611</v>
      </c>
      <c r="F230" s="38">
        <v>225</v>
      </c>
      <c r="G230" s="70" t="s">
        <v>43</v>
      </c>
      <c r="H230" s="29">
        <f>48100+59500</f>
        <v>107600</v>
      </c>
      <c r="I230" s="14">
        <v>10000</v>
      </c>
      <c r="J230" s="14">
        <v>10000</v>
      </c>
      <c r="K230" s="14">
        <v>10000</v>
      </c>
      <c r="L230" s="14">
        <v>6000</v>
      </c>
      <c r="M230" s="14">
        <v>16000</v>
      </c>
      <c r="N230" s="14">
        <v>14600</v>
      </c>
      <c r="O230" s="14">
        <v>10500</v>
      </c>
      <c r="P230" s="14">
        <v>10500</v>
      </c>
      <c r="Q230" s="14">
        <v>10000</v>
      </c>
      <c r="R230" s="14">
        <v>5000</v>
      </c>
      <c r="S230" s="14">
        <v>5000</v>
      </c>
      <c r="T230" s="14">
        <v>0</v>
      </c>
      <c r="U230" s="100"/>
      <c r="V230" s="15">
        <f t="shared" si="62"/>
        <v>107600</v>
      </c>
    </row>
    <row r="231" spans="1:22" ht="12.75" hidden="1">
      <c r="A231" s="56" t="s">
        <v>87</v>
      </c>
      <c r="B231" s="23" t="s">
        <v>13</v>
      </c>
      <c r="C231" s="16" t="s">
        <v>23</v>
      </c>
      <c r="D231" s="10">
        <v>6610100590</v>
      </c>
      <c r="E231" s="51">
        <v>611</v>
      </c>
      <c r="F231" s="51">
        <v>226</v>
      </c>
      <c r="G231" s="70" t="s">
        <v>43</v>
      </c>
      <c r="H231" s="29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00"/>
      <c r="V231" s="15">
        <f t="shared" si="62"/>
        <v>0</v>
      </c>
    </row>
    <row r="232" spans="1:22" ht="12.75" hidden="1">
      <c r="A232" s="56" t="s">
        <v>87</v>
      </c>
      <c r="B232" s="23" t="s">
        <v>15</v>
      </c>
      <c r="C232" s="16" t="s">
        <v>23</v>
      </c>
      <c r="D232" s="10">
        <v>6610100590</v>
      </c>
      <c r="E232" s="51">
        <v>611</v>
      </c>
      <c r="F232" s="51">
        <v>340</v>
      </c>
      <c r="G232" s="70" t="s">
        <v>43</v>
      </c>
      <c r="H232" s="29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00"/>
      <c r="V232" s="15">
        <f t="shared" si="62"/>
        <v>0</v>
      </c>
    </row>
    <row r="233" spans="1:22" ht="12.75" hidden="1">
      <c r="A233" s="56" t="s">
        <v>87</v>
      </c>
      <c r="B233" s="23" t="s">
        <v>16</v>
      </c>
      <c r="C233" s="16" t="s">
        <v>23</v>
      </c>
      <c r="D233" s="10">
        <v>6610100590</v>
      </c>
      <c r="E233" s="51">
        <v>611</v>
      </c>
      <c r="F233" s="51">
        <v>310</v>
      </c>
      <c r="G233" s="70" t="s">
        <v>43</v>
      </c>
      <c r="H233" s="29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00"/>
      <c r="V233" s="15">
        <f t="shared" si="62"/>
        <v>0</v>
      </c>
    </row>
    <row r="234" spans="1:22" ht="12.75" hidden="1">
      <c r="A234" s="56" t="s">
        <v>87</v>
      </c>
      <c r="B234" s="23" t="s">
        <v>5</v>
      </c>
      <c r="C234" s="16" t="s">
        <v>23</v>
      </c>
      <c r="D234" s="10">
        <v>6610100590</v>
      </c>
      <c r="E234" s="51">
        <v>611</v>
      </c>
      <c r="F234" s="51">
        <v>211</v>
      </c>
      <c r="G234" s="38" t="s">
        <v>64</v>
      </c>
      <c r="H234" s="29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00"/>
      <c r="V234" s="15">
        <f t="shared" si="62"/>
        <v>0</v>
      </c>
    </row>
    <row r="235" spans="1:22" ht="12.75" hidden="1">
      <c r="A235" s="56" t="s">
        <v>87</v>
      </c>
      <c r="B235" s="23" t="s">
        <v>7</v>
      </c>
      <c r="C235" s="16" t="s">
        <v>23</v>
      </c>
      <c r="D235" s="10">
        <v>6610100590</v>
      </c>
      <c r="E235" s="51">
        <v>611</v>
      </c>
      <c r="F235" s="51">
        <v>213</v>
      </c>
      <c r="G235" s="38" t="s">
        <v>64</v>
      </c>
      <c r="H235" s="29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00"/>
      <c r="V235" s="15">
        <f t="shared" si="62"/>
        <v>0</v>
      </c>
    </row>
    <row r="236" spans="1:22" ht="25.5" hidden="1">
      <c r="A236" s="56" t="s">
        <v>87</v>
      </c>
      <c r="B236" s="63" t="s">
        <v>60</v>
      </c>
      <c r="C236" s="10" t="s">
        <v>23</v>
      </c>
      <c r="D236" s="10">
        <v>6610100590</v>
      </c>
      <c r="E236" s="38">
        <v>611</v>
      </c>
      <c r="F236" s="38">
        <v>225</v>
      </c>
      <c r="G236" s="38" t="s">
        <v>64</v>
      </c>
      <c r="H236" s="29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00"/>
      <c r="V236" s="15">
        <f t="shared" si="62"/>
        <v>0</v>
      </c>
    </row>
    <row r="237" spans="1:22" ht="108.75" customHeight="1">
      <c r="A237" s="56" t="s">
        <v>87</v>
      </c>
      <c r="B237" s="48" t="s">
        <v>184</v>
      </c>
      <c r="C237" s="10" t="s">
        <v>23</v>
      </c>
      <c r="D237" s="10">
        <v>6610100590</v>
      </c>
      <c r="E237" s="38">
        <v>611</v>
      </c>
      <c r="F237" s="38">
        <v>226</v>
      </c>
      <c r="G237" s="38"/>
      <c r="H237" s="29">
        <f>40000+83000+47000+60100+58000+10000+20000+57000+57000</f>
        <v>432100</v>
      </c>
      <c r="I237" s="14">
        <v>35000</v>
      </c>
      <c r="J237" s="14">
        <v>32500</v>
      </c>
      <c r="K237" s="14">
        <v>26100</v>
      </c>
      <c r="L237" s="14">
        <v>0</v>
      </c>
      <c r="M237" s="14">
        <v>50000</v>
      </c>
      <c r="N237" s="14">
        <v>50000</v>
      </c>
      <c r="O237" s="14">
        <v>50000</v>
      </c>
      <c r="P237" s="14">
        <v>50000</v>
      </c>
      <c r="Q237" s="14">
        <v>50000</v>
      </c>
      <c r="R237" s="14">
        <v>50000</v>
      </c>
      <c r="S237" s="14">
        <v>38500</v>
      </c>
      <c r="T237" s="14">
        <v>0</v>
      </c>
      <c r="U237" s="100"/>
      <c r="V237" s="15">
        <f t="shared" si="62"/>
        <v>432100</v>
      </c>
    </row>
    <row r="238" spans="1:22" ht="15.75" customHeight="1" hidden="1">
      <c r="A238" s="56" t="s">
        <v>37</v>
      </c>
      <c r="B238" s="23" t="s">
        <v>16</v>
      </c>
      <c r="C238" s="16" t="s">
        <v>23</v>
      </c>
      <c r="D238" s="51">
        <v>8220100270</v>
      </c>
      <c r="E238" s="51">
        <v>611</v>
      </c>
      <c r="F238" s="51">
        <v>310</v>
      </c>
      <c r="G238" s="38" t="s">
        <v>64</v>
      </c>
      <c r="H238" s="29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00"/>
      <c r="V238" s="15">
        <f t="shared" si="62"/>
        <v>0</v>
      </c>
    </row>
    <row r="239" spans="1:22" ht="12.75" hidden="1">
      <c r="A239" s="56" t="s">
        <v>37</v>
      </c>
      <c r="B239" s="23" t="s">
        <v>5</v>
      </c>
      <c r="C239" s="16" t="s">
        <v>23</v>
      </c>
      <c r="D239" s="51">
        <v>8220100270</v>
      </c>
      <c r="E239" s="51">
        <v>611</v>
      </c>
      <c r="F239" s="51">
        <v>211</v>
      </c>
      <c r="G239" s="38" t="s">
        <v>66</v>
      </c>
      <c r="H239" s="29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00"/>
      <c r="V239" s="15">
        <f t="shared" si="62"/>
        <v>0</v>
      </c>
    </row>
    <row r="240" spans="1:22" ht="12.75" hidden="1">
      <c r="A240" s="56" t="s">
        <v>37</v>
      </c>
      <c r="B240" s="23" t="s">
        <v>7</v>
      </c>
      <c r="C240" s="16" t="s">
        <v>23</v>
      </c>
      <c r="D240" s="51">
        <v>8220100270</v>
      </c>
      <c r="E240" s="51">
        <v>611</v>
      </c>
      <c r="F240" s="51">
        <v>213</v>
      </c>
      <c r="G240" s="38" t="s">
        <v>66</v>
      </c>
      <c r="H240" s="29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00"/>
      <c r="V240" s="15">
        <f t="shared" si="62"/>
        <v>0</v>
      </c>
    </row>
    <row r="241" spans="1:22" ht="102">
      <c r="A241" s="56" t="s">
        <v>87</v>
      </c>
      <c r="B241" s="48" t="s">
        <v>215</v>
      </c>
      <c r="C241" s="10" t="s">
        <v>23</v>
      </c>
      <c r="D241" s="10">
        <v>6610100590</v>
      </c>
      <c r="E241" s="38">
        <v>611</v>
      </c>
      <c r="F241" s="38">
        <v>340</v>
      </c>
      <c r="G241" s="38"/>
      <c r="H241" s="29">
        <f>10000+50000+20000+30000+30000</f>
        <v>140000</v>
      </c>
      <c r="I241" s="14">
        <v>11600</v>
      </c>
      <c r="J241" s="14">
        <v>10000</v>
      </c>
      <c r="K241" s="14">
        <v>25000</v>
      </c>
      <c r="L241" s="14">
        <v>5000</v>
      </c>
      <c r="M241" s="14">
        <v>5000</v>
      </c>
      <c r="N241" s="14">
        <v>15000</v>
      </c>
      <c r="O241" s="14">
        <v>15000</v>
      </c>
      <c r="P241" s="14">
        <v>15000</v>
      </c>
      <c r="Q241" s="14">
        <v>0</v>
      </c>
      <c r="R241" s="14">
        <v>38400</v>
      </c>
      <c r="S241" s="14">
        <v>0</v>
      </c>
      <c r="T241" s="14">
        <v>0</v>
      </c>
      <c r="U241" s="100"/>
      <c r="V241" s="15">
        <f t="shared" si="62"/>
        <v>140000</v>
      </c>
    </row>
    <row r="242" spans="1:22" ht="102">
      <c r="A242" s="56" t="s">
        <v>87</v>
      </c>
      <c r="B242" s="48" t="s">
        <v>216</v>
      </c>
      <c r="C242" s="10" t="s">
        <v>23</v>
      </c>
      <c r="D242" s="10">
        <v>6610100590</v>
      </c>
      <c r="E242" s="38">
        <v>611</v>
      </c>
      <c r="F242" s="38">
        <v>310</v>
      </c>
      <c r="G242" s="38"/>
      <c r="H242" s="29">
        <v>100000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100000</v>
      </c>
      <c r="S242" s="14">
        <v>0</v>
      </c>
      <c r="T242" s="14">
        <v>0</v>
      </c>
      <c r="U242" s="100"/>
      <c r="V242" s="15">
        <f t="shared" si="62"/>
        <v>100000</v>
      </c>
    </row>
    <row r="243" spans="1:22" ht="114.75">
      <c r="A243" s="56" t="s">
        <v>87</v>
      </c>
      <c r="B243" s="48" t="s">
        <v>182</v>
      </c>
      <c r="C243" s="10" t="s">
        <v>23</v>
      </c>
      <c r="D243" s="10">
        <v>6610100590</v>
      </c>
      <c r="E243" s="38">
        <v>611</v>
      </c>
      <c r="F243" s="38">
        <v>290</v>
      </c>
      <c r="G243" s="29"/>
      <c r="H243" s="29">
        <v>70000</v>
      </c>
      <c r="I243" s="14">
        <v>40000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30000</v>
      </c>
      <c r="Q243" s="14">
        <v>0</v>
      </c>
      <c r="R243" s="14">
        <v>0</v>
      </c>
      <c r="S243" s="14">
        <v>0</v>
      </c>
      <c r="T243" s="14">
        <v>0</v>
      </c>
      <c r="U243" s="100"/>
      <c r="V243" s="15">
        <f t="shared" si="62"/>
        <v>70000</v>
      </c>
    </row>
    <row r="244" spans="1:22" ht="63.75">
      <c r="A244" s="62" t="s">
        <v>87</v>
      </c>
      <c r="B244" s="90" t="s">
        <v>130</v>
      </c>
      <c r="C244" s="37" t="s">
        <v>23</v>
      </c>
      <c r="D244" s="37">
        <v>6620000000</v>
      </c>
      <c r="E244" s="37"/>
      <c r="F244" s="37"/>
      <c r="G244" s="37"/>
      <c r="H244" s="13">
        <f aca="true" t="shared" si="63" ref="H244:T244">H245+H246+H247+H248+H249+H250</f>
        <v>3423300</v>
      </c>
      <c r="I244" s="13">
        <f t="shared" si="63"/>
        <v>0</v>
      </c>
      <c r="J244" s="13">
        <f t="shared" si="63"/>
        <v>311000</v>
      </c>
      <c r="K244" s="13">
        <f t="shared" si="63"/>
        <v>311200</v>
      </c>
      <c r="L244" s="13">
        <f t="shared" si="63"/>
        <v>311200</v>
      </c>
      <c r="M244" s="13">
        <f t="shared" si="63"/>
        <v>311200</v>
      </c>
      <c r="N244" s="13">
        <f t="shared" si="63"/>
        <v>311200</v>
      </c>
      <c r="O244" s="13">
        <f t="shared" si="63"/>
        <v>311200</v>
      </c>
      <c r="P244" s="13">
        <f t="shared" si="63"/>
        <v>311200</v>
      </c>
      <c r="Q244" s="13">
        <f t="shared" si="63"/>
        <v>311200</v>
      </c>
      <c r="R244" s="13">
        <f t="shared" si="63"/>
        <v>311200</v>
      </c>
      <c r="S244" s="13">
        <f t="shared" si="63"/>
        <v>311500</v>
      </c>
      <c r="T244" s="13">
        <f t="shared" si="63"/>
        <v>311200</v>
      </c>
      <c r="U244" s="101"/>
      <c r="V244" s="87">
        <f t="shared" si="62"/>
        <v>3423300</v>
      </c>
    </row>
    <row r="245" spans="1:22" ht="89.25" customHeight="1">
      <c r="A245" s="56" t="s">
        <v>87</v>
      </c>
      <c r="B245" s="109" t="s">
        <v>186</v>
      </c>
      <c r="C245" s="10" t="s">
        <v>23</v>
      </c>
      <c r="D245" s="10">
        <v>6620110410</v>
      </c>
      <c r="E245" s="10">
        <v>611</v>
      </c>
      <c r="F245" s="10">
        <v>211</v>
      </c>
      <c r="G245" s="132" t="s">
        <v>80</v>
      </c>
      <c r="H245" s="14">
        <v>2629300</v>
      </c>
      <c r="I245" s="14">
        <v>0</v>
      </c>
      <c r="J245" s="14">
        <v>239000</v>
      </c>
      <c r="K245" s="14">
        <v>239000</v>
      </c>
      <c r="L245" s="14">
        <v>239000</v>
      </c>
      <c r="M245" s="14">
        <v>239000</v>
      </c>
      <c r="N245" s="14">
        <v>239000</v>
      </c>
      <c r="O245" s="14">
        <v>239000</v>
      </c>
      <c r="P245" s="14">
        <v>239000</v>
      </c>
      <c r="Q245" s="14">
        <v>239000</v>
      </c>
      <c r="R245" s="14">
        <v>239000</v>
      </c>
      <c r="S245" s="14">
        <v>239300</v>
      </c>
      <c r="T245" s="14">
        <v>239000</v>
      </c>
      <c r="U245" s="100"/>
      <c r="V245" s="15">
        <f t="shared" si="62"/>
        <v>2629300</v>
      </c>
    </row>
    <row r="246" spans="1:22" ht="132" customHeight="1">
      <c r="A246" s="56" t="s">
        <v>87</v>
      </c>
      <c r="B246" s="109" t="s">
        <v>195</v>
      </c>
      <c r="C246" s="10" t="s">
        <v>23</v>
      </c>
      <c r="D246" s="10">
        <v>6620110410</v>
      </c>
      <c r="E246" s="10">
        <v>611</v>
      </c>
      <c r="F246" s="10">
        <v>213</v>
      </c>
      <c r="G246" s="132"/>
      <c r="H246" s="14">
        <v>794000</v>
      </c>
      <c r="I246" s="14">
        <v>0</v>
      </c>
      <c r="J246" s="14">
        <v>72000</v>
      </c>
      <c r="K246" s="14">
        <v>72200</v>
      </c>
      <c r="L246" s="14">
        <v>72200</v>
      </c>
      <c r="M246" s="14">
        <v>72200</v>
      </c>
      <c r="N246" s="14">
        <v>72200</v>
      </c>
      <c r="O246" s="14">
        <v>72200</v>
      </c>
      <c r="P246" s="14">
        <v>72200</v>
      </c>
      <c r="Q246" s="14">
        <v>72200</v>
      </c>
      <c r="R246" s="14">
        <v>72200</v>
      </c>
      <c r="S246" s="14">
        <v>72200</v>
      </c>
      <c r="T246" s="14">
        <v>72200</v>
      </c>
      <c r="U246" s="100"/>
      <c r="V246" s="15">
        <f t="shared" si="62"/>
        <v>794000</v>
      </c>
    </row>
    <row r="247" spans="1:22" ht="46.5" customHeight="1" hidden="1">
      <c r="A247" s="56" t="s">
        <v>37</v>
      </c>
      <c r="B247" s="23" t="s">
        <v>5</v>
      </c>
      <c r="C247" s="16" t="s">
        <v>23</v>
      </c>
      <c r="D247" s="16">
        <v>8230110410</v>
      </c>
      <c r="E247" s="16">
        <v>611</v>
      </c>
      <c r="F247" s="16">
        <v>211</v>
      </c>
      <c r="G247" s="132"/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00"/>
      <c r="V247" s="15">
        <f t="shared" si="62"/>
        <v>0</v>
      </c>
    </row>
    <row r="248" spans="1:22" ht="45.75" customHeight="1" hidden="1">
      <c r="A248" s="56" t="s">
        <v>37</v>
      </c>
      <c r="B248" s="23" t="s">
        <v>7</v>
      </c>
      <c r="C248" s="16" t="s">
        <v>23</v>
      </c>
      <c r="D248" s="16">
        <v>8230110410</v>
      </c>
      <c r="E248" s="16">
        <v>611</v>
      </c>
      <c r="F248" s="16">
        <v>213</v>
      </c>
      <c r="G248" s="132"/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00"/>
      <c r="V248" s="15">
        <f t="shared" si="62"/>
        <v>0</v>
      </c>
    </row>
    <row r="249" spans="1:22" ht="67.5" customHeight="1" hidden="1">
      <c r="A249" s="56" t="s">
        <v>37</v>
      </c>
      <c r="B249" s="23" t="s">
        <v>5</v>
      </c>
      <c r="C249" s="16" t="s">
        <v>23</v>
      </c>
      <c r="D249" s="16">
        <v>8230110410</v>
      </c>
      <c r="E249" s="16">
        <v>611</v>
      </c>
      <c r="F249" s="16">
        <v>211</v>
      </c>
      <c r="G249" s="132"/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00"/>
      <c r="V249" s="15">
        <f t="shared" si="62"/>
        <v>0</v>
      </c>
    </row>
    <row r="250" spans="1:22" ht="53.25" customHeight="1" hidden="1">
      <c r="A250" s="56" t="s">
        <v>37</v>
      </c>
      <c r="B250" s="23" t="s">
        <v>7</v>
      </c>
      <c r="C250" s="16" t="s">
        <v>23</v>
      </c>
      <c r="D250" s="16">
        <v>8230110410</v>
      </c>
      <c r="E250" s="16">
        <v>611</v>
      </c>
      <c r="F250" s="16">
        <v>213</v>
      </c>
      <c r="G250" s="132"/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00"/>
      <c r="V250" s="15">
        <f t="shared" si="62"/>
        <v>0</v>
      </c>
    </row>
    <row r="251" spans="1:22" ht="12.75" hidden="1">
      <c r="A251" s="56"/>
      <c r="B251" s="23"/>
      <c r="C251" s="16"/>
      <c r="D251" s="16"/>
      <c r="E251" s="16"/>
      <c r="F251" s="16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00"/>
      <c r="V251" s="15">
        <f t="shared" si="62"/>
        <v>0</v>
      </c>
    </row>
    <row r="252" spans="1:22" ht="12.75" hidden="1">
      <c r="A252" s="56"/>
      <c r="B252" s="23"/>
      <c r="C252" s="16"/>
      <c r="D252" s="16"/>
      <c r="E252" s="16"/>
      <c r="F252" s="16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00"/>
      <c r="V252" s="15">
        <f t="shared" si="62"/>
        <v>0</v>
      </c>
    </row>
    <row r="253" spans="1:22" ht="12.75" hidden="1">
      <c r="A253" s="56"/>
      <c r="B253" s="23"/>
      <c r="C253" s="16"/>
      <c r="D253" s="16"/>
      <c r="E253" s="16"/>
      <c r="F253" s="16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00"/>
      <c r="V253" s="15">
        <f t="shared" si="62"/>
        <v>0</v>
      </c>
    </row>
    <row r="254" spans="1:22" ht="12.75" hidden="1">
      <c r="A254" s="56"/>
      <c r="B254" s="23"/>
      <c r="C254" s="16"/>
      <c r="D254" s="16"/>
      <c r="E254" s="16"/>
      <c r="F254" s="16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00"/>
      <c r="V254" s="15">
        <f t="shared" si="62"/>
        <v>0</v>
      </c>
    </row>
    <row r="255" spans="1:22" ht="12.75" hidden="1">
      <c r="A255" s="56"/>
      <c r="B255" s="23"/>
      <c r="C255" s="16"/>
      <c r="D255" s="16"/>
      <c r="E255" s="16"/>
      <c r="F255" s="16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00"/>
      <c r="V255" s="15">
        <f t="shared" si="62"/>
        <v>0</v>
      </c>
    </row>
    <row r="256" spans="1:22" ht="12.75" hidden="1">
      <c r="A256" s="56"/>
      <c r="B256" s="23"/>
      <c r="C256" s="16"/>
      <c r="D256" s="16"/>
      <c r="E256" s="16"/>
      <c r="F256" s="16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00"/>
      <c r="V256" s="15">
        <f t="shared" si="62"/>
        <v>0</v>
      </c>
    </row>
    <row r="257" spans="1:22" ht="12.75" hidden="1">
      <c r="A257" s="56"/>
      <c r="B257" s="23"/>
      <c r="C257" s="16"/>
      <c r="D257" s="16"/>
      <c r="E257" s="16"/>
      <c r="F257" s="16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00"/>
      <c r="V257" s="15">
        <f t="shared" si="62"/>
        <v>0</v>
      </c>
    </row>
    <row r="258" spans="1:22" ht="12.75">
      <c r="A258" s="56"/>
      <c r="B258" s="23"/>
      <c r="C258" s="16"/>
      <c r="D258" s="16"/>
      <c r="E258" s="16"/>
      <c r="F258" s="16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00"/>
      <c r="V258" s="15">
        <f t="shared" si="62"/>
        <v>0</v>
      </c>
    </row>
    <row r="259" spans="1:22" ht="51">
      <c r="A259" s="62" t="s">
        <v>87</v>
      </c>
      <c r="B259" s="90" t="s">
        <v>131</v>
      </c>
      <c r="C259" s="37" t="s">
        <v>23</v>
      </c>
      <c r="D259" s="37">
        <v>6630000000</v>
      </c>
      <c r="E259" s="37"/>
      <c r="F259" s="37"/>
      <c r="G259" s="37"/>
      <c r="H259" s="13">
        <f aca="true" t="shared" si="64" ref="H259:T259">H260</f>
        <v>444200</v>
      </c>
      <c r="I259" s="13">
        <f t="shared" si="64"/>
        <v>0</v>
      </c>
      <c r="J259" s="13">
        <f t="shared" si="64"/>
        <v>21500</v>
      </c>
      <c r="K259" s="13">
        <f t="shared" si="64"/>
        <v>31500</v>
      </c>
      <c r="L259" s="13">
        <f t="shared" si="64"/>
        <v>31700</v>
      </c>
      <c r="M259" s="13">
        <f t="shared" si="64"/>
        <v>39200</v>
      </c>
      <c r="N259" s="13">
        <f t="shared" si="64"/>
        <v>5000</v>
      </c>
      <c r="O259" s="13">
        <f t="shared" si="64"/>
        <v>5000</v>
      </c>
      <c r="P259" s="13">
        <f t="shared" si="64"/>
        <v>5000</v>
      </c>
      <c r="Q259" s="13">
        <f t="shared" si="64"/>
        <v>6000</v>
      </c>
      <c r="R259" s="13">
        <f t="shared" si="64"/>
        <v>165000</v>
      </c>
      <c r="S259" s="13">
        <f t="shared" si="64"/>
        <v>100000</v>
      </c>
      <c r="T259" s="13">
        <f t="shared" si="64"/>
        <v>34300</v>
      </c>
      <c r="U259" s="101"/>
      <c r="V259" s="87">
        <f t="shared" si="62"/>
        <v>444200</v>
      </c>
    </row>
    <row r="260" spans="1:22" ht="114.75">
      <c r="A260" s="56" t="s">
        <v>87</v>
      </c>
      <c r="B260" s="48" t="s">
        <v>183</v>
      </c>
      <c r="C260" s="10" t="s">
        <v>23</v>
      </c>
      <c r="D260" s="10">
        <v>6630100320</v>
      </c>
      <c r="E260" s="10">
        <v>611</v>
      </c>
      <c r="F260" s="23">
        <v>290</v>
      </c>
      <c r="G260" s="14"/>
      <c r="H260" s="14">
        <v>444200</v>
      </c>
      <c r="I260" s="14">
        <v>0</v>
      </c>
      <c r="J260" s="14">
        <v>21500</v>
      </c>
      <c r="K260" s="14">
        <v>31500</v>
      </c>
      <c r="L260" s="14">
        <v>31700</v>
      </c>
      <c r="M260" s="14">
        <v>39200</v>
      </c>
      <c r="N260" s="14">
        <v>5000</v>
      </c>
      <c r="O260" s="14">
        <v>5000</v>
      </c>
      <c r="P260" s="14">
        <v>5000</v>
      </c>
      <c r="Q260" s="14">
        <f>20800+22800+19467.33-57067.33</f>
        <v>6000</v>
      </c>
      <c r="R260" s="14">
        <v>165000</v>
      </c>
      <c r="S260" s="14">
        <v>100000</v>
      </c>
      <c r="T260" s="14">
        <v>34300</v>
      </c>
      <c r="U260" s="100"/>
      <c r="V260" s="15">
        <f t="shared" si="62"/>
        <v>444200</v>
      </c>
    </row>
    <row r="261" spans="1:22" ht="12.75">
      <c r="A261" s="56"/>
      <c r="B261" s="23"/>
      <c r="C261" s="16"/>
      <c r="D261" s="16"/>
      <c r="E261" s="16"/>
      <c r="F261" s="28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00"/>
      <c r="V261" s="15">
        <f t="shared" si="62"/>
        <v>0</v>
      </c>
    </row>
    <row r="262" spans="1:22" ht="102">
      <c r="A262" s="62" t="s">
        <v>87</v>
      </c>
      <c r="B262" s="90" t="s">
        <v>132</v>
      </c>
      <c r="C262" s="37" t="s">
        <v>23</v>
      </c>
      <c r="D262" s="37">
        <v>6700000000</v>
      </c>
      <c r="E262" s="37"/>
      <c r="F262" s="37"/>
      <c r="G262" s="37"/>
      <c r="H262" s="13">
        <f aca="true" t="shared" si="65" ref="H262:T262">H263</f>
        <v>50000</v>
      </c>
      <c r="I262" s="13">
        <f t="shared" si="65"/>
        <v>0</v>
      </c>
      <c r="J262" s="13">
        <f t="shared" si="65"/>
        <v>0</v>
      </c>
      <c r="K262" s="13">
        <f t="shared" si="65"/>
        <v>0</v>
      </c>
      <c r="L262" s="13">
        <f t="shared" si="65"/>
        <v>50000</v>
      </c>
      <c r="M262" s="13">
        <f t="shared" si="65"/>
        <v>0</v>
      </c>
      <c r="N262" s="13">
        <f t="shared" si="65"/>
        <v>0</v>
      </c>
      <c r="O262" s="13">
        <f t="shared" si="65"/>
        <v>0</v>
      </c>
      <c r="P262" s="13">
        <f t="shared" si="65"/>
        <v>0</v>
      </c>
      <c r="Q262" s="13">
        <f t="shared" si="65"/>
        <v>0</v>
      </c>
      <c r="R262" s="13">
        <f t="shared" si="65"/>
        <v>0</v>
      </c>
      <c r="S262" s="13">
        <f t="shared" si="65"/>
        <v>0</v>
      </c>
      <c r="T262" s="13">
        <f t="shared" si="65"/>
        <v>0</v>
      </c>
      <c r="U262" s="101"/>
      <c r="V262" s="87">
        <f t="shared" si="62"/>
        <v>50000</v>
      </c>
    </row>
    <row r="263" spans="1:22" ht="33" customHeight="1">
      <c r="A263" s="56" t="s">
        <v>87</v>
      </c>
      <c r="B263" s="63" t="s">
        <v>157</v>
      </c>
      <c r="C263" s="10" t="s">
        <v>23</v>
      </c>
      <c r="D263" s="10">
        <v>6710110310</v>
      </c>
      <c r="E263" s="10">
        <v>244</v>
      </c>
      <c r="F263" s="10">
        <v>225</v>
      </c>
      <c r="G263" s="14"/>
      <c r="H263" s="14">
        <v>50000</v>
      </c>
      <c r="I263" s="14">
        <v>0</v>
      </c>
      <c r="J263" s="14">
        <v>0</v>
      </c>
      <c r="K263" s="14">
        <v>0</v>
      </c>
      <c r="L263" s="14">
        <v>50000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00"/>
      <c r="V263" s="15">
        <f t="shared" si="62"/>
        <v>50000</v>
      </c>
    </row>
    <row r="264" spans="1:22" s="3" customFormat="1" ht="38.25">
      <c r="A264" s="62" t="s">
        <v>87</v>
      </c>
      <c r="B264" s="90" t="s">
        <v>67</v>
      </c>
      <c r="C264" s="37" t="s">
        <v>23</v>
      </c>
      <c r="D264" s="37">
        <v>8800000000</v>
      </c>
      <c r="E264" s="41"/>
      <c r="F264" s="41"/>
      <c r="G264" s="24"/>
      <c r="H264" s="13">
        <f aca="true" t="shared" si="66" ref="H264:M264">H265</f>
        <v>130000</v>
      </c>
      <c r="I264" s="13">
        <f t="shared" si="66"/>
        <v>0</v>
      </c>
      <c r="J264" s="13">
        <f t="shared" si="66"/>
        <v>130000</v>
      </c>
      <c r="K264" s="13">
        <f t="shared" si="66"/>
        <v>0</v>
      </c>
      <c r="L264" s="13">
        <f t="shared" si="66"/>
        <v>0</v>
      </c>
      <c r="M264" s="13">
        <f t="shared" si="66"/>
        <v>0</v>
      </c>
      <c r="N264" s="13">
        <v>0</v>
      </c>
      <c r="O264" s="13">
        <f aca="true" t="shared" si="67" ref="O264:T264">O265</f>
        <v>0</v>
      </c>
      <c r="P264" s="13">
        <f t="shared" si="67"/>
        <v>0</v>
      </c>
      <c r="Q264" s="13">
        <f t="shared" si="67"/>
        <v>0</v>
      </c>
      <c r="R264" s="13">
        <f t="shared" si="67"/>
        <v>0</v>
      </c>
      <c r="S264" s="13">
        <f t="shared" si="67"/>
        <v>0</v>
      </c>
      <c r="T264" s="13">
        <f t="shared" si="67"/>
        <v>0</v>
      </c>
      <c r="U264" s="101"/>
      <c r="V264" s="87">
        <f t="shared" si="62"/>
        <v>130000</v>
      </c>
    </row>
    <row r="265" spans="1:22" ht="25.5">
      <c r="A265" s="56" t="s">
        <v>87</v>
      </c>
      <c r="B265" s="48" t="s">
        <v>173</v>
      </c>
      <c r="C265" s="10" t="s">
        <v>23</v>
      </c>
      <c r="D265" s="10">
        <v>8810011440</v>
      </c>
      <c r="E265" s="10">
        <v>540</v>
      </c>
      <c r="F265" s="10">
        <v>310</v>
      </c>
      <c r="G265" s="14"/>
      <c r="H265" s="14">
        <v>130000</v>
      </c>
      <c r="I265" s="14">
        <v>0</v>
      </c>
      <c r="J265" s="14">
        <v>130000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00"/>
      <c r="V265" s="15">
        <f t="shared" si="62"/>
        <v>130000</v>
      </c>
    </row>
    <row r="266" spans="1:22" ht="12.75">
      <c r="A266" s="56"/>
      <c r="B266" s="23"/>
      <c r="C266" s="16"/>
      <c r="D266" s="16"/>
      <c r="E266" s="16"/>
      <c r="F266" s="16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00"/>
      <c r="V266" s="15">
        <f t="shared" si="62"/>
        <v>0</v>
      </c>
    </row>
    <row r="267" spans="1:22" ht="12.75">
      <c r="A267" s="56"/>
      <c r="B267" s="25" t="s">
        <v>45</v>
      </c>
      <c r="C267" s="25" t="s">
        <v>23</v>
      </c>
      <c r="D267" s="16"/>
      <c r="E267" s="16"/>
      <c r="F267" s="16"/>
      <c r="G267" s="14"/>
      <c r="H267" s="30">
        <f aca="true" t="shared" si="68" ref="H267:T267">H263+H264+H259+H244+H221</f>
        <v>13753700</v>
      </c>
      <c r="I267" s="30">
        <f t="shared" si="68"/>
        <v>500800</v>
      </c>
      <c r="J267" s="30">
        <f t="shared" si="68"/>
        <v>1314200</v>
      </c>
      <c r="K267" s="30">
        <f t="shared" si="68"/>
        <v>1183900</v>
      </c>
      <c r="L267" s="30">
        <f t="shared" si="68"/>
        <v>1144000</v>
      </c>
      <c r="M267" s="30">
        <f t="shared" si="68"/>
        <v>1092000</v>
      </c>
      <c r="N267" s="30">
        <f t="shared" si="68"/>
        <v>1188500</v>
      </c>
      <c r="O267" s="30">
        <f t="shared" si="68"/>
        <v>1136500</v>
      </c>
      <c r="P267" s="30">
        <f t="shared" si="68"/>
        <v>1166500</v>
      </c>
      <c r="Q267" s="30">
        <f t="shared" si="68"/>
        <v>1057300</v>
      </c>
      <c r="R267" s="30">
        <f t="shared" si="68"/>
        <v>1434600</v>
      </c>
      <c r="S267" s="30">
        <f t="shared" si="68"/>
        <v>1382600</v>
      </c>
      <c r="T267" s="30">
        <f t="shared" si="68"/>
        <v>1152800</v>
      </c>
      <c r="U267" s="97"/>
      <c r="V267" s="97">
        <f>V263+V264+V259+V244+V221</f>
        <v>13753700</v>
      </c>
    </row>
    <row r="268" spans="1:22" ht="12.75">
      <c r="A268" s="56"/>
      <c r="B268" s="23"/>
      <c r="C268" s="16"/>
      <c r="D268" s="16"/>
      <c r="E268" s="16"/>
      <c r="F268" s="16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00"/>
      <c r="V268" s="15">
        <f aca="true" t="shared" si="69" ref="V268:V282">SUM(I268:T268)</f>
        <v>0</v>
      </c>
    </row>
    <row r="269" spans="1:22" ht="12.75">
      <c r="A269" s="66"/>
      <c r="B269" s="92" t="s">
        <v>68</v>
      </c>
      <c r="C269" s="44"/>
      <c r="D269" s="44"/>
      <c r="E269" s="44"/>
      <c r="F269" s="44"/>
      <c r="G269" s="49"/>
      <c r="H269" s="42">
        <f aca="true" t="shared" si="70" ref="H269:T269">H267</f>
        <v>13753700</v>
      </c>
      <c r="I269" s="42">
        <f t="shared" si="70"/>
        <v>500800</v>
      </c>
      <c r="J269" s="42">
        <f t="shared" si="70"/>
        <v>1314200</v>
      </c>
      <c r="K269" s="42">
        <f t="shared" si="70"/>
        <v>1183900</v>
      </c>
      <c r="L269" s="42">
        <f t="shared" si="70"/>
        <v>1144000</v>
      </c>
      <c r="M269" s="42">
        <f t="shared" si="70"/>
        <v>1092000</v>
      </c>
      <c r="N269" s="42">
        <f t="shared" si="70"/>
        <v>1188500</v>
      </c>
      <c r="O269" s="42">
        <f t="shared" si="70"/>
        <v>1136500</v>
      </c>
      <c r="P269" s="42">
        <f t="shared" si="70"/>
        <v>1166500</v>
      </c>
      <c r="Q269" s="42">
        <f t="shared" si="70"/>
        <v>1057300</v>
      </c>
      <c r="R269" s="42">
        <f t="shared" si="70"/>
        <v>1434600</v>
      </c>
      <c r="S269" s="42">
        <f t="shared" si="70"/>
        <v>1382600</v>
      </c>
      <c r="T269" s="42">
        <f t="shared" si="70"/>
        <v>1152800</v>
      </c>
      <c r="U269" s="104"/>
      <c r="V269" s="50">
        <f t="shared" si="69"/>
        <v>13753700</v>
      </c>
    </row>
    <row r="270" spans="1:22" ht="12.75">
      <c r="A270" s="56"/>
      <c r="B270" s="23"/>
      <c r="C270" s="16"/>
      <c r="D270" s="16"/>
      <c r="E270" s="16"/>
      <c r="F270" s="16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00"/>
      <c r="V270" s="15">
        <f t="shared" si="69"/>
        <v>0</v>
      </c>
    </row>
    <row r="271" spans="1:22" ht="102">
      <c r="A271" s="62" t="s">
        <v>87</v>
      </c>
      <c r="B271" s="90" t="s">
        <v>133</v>
      </c>
      <c r="C271" s="37" t="s">
        <v>44</v>
      </c>
      <c r="D271" s="37">
        <v>6900000000</v>
      </c>
      <c r="E271" s="37"/>
      <c r="F271" s="37"/>
      <c r="G271" s="37"/>
      <c r="H271" s="13">
        <f aca="true" t="shared" si="71" ref="H271:T271">H272</f>
        <v>388200</v>
      </c>
      <c r="I271" s="13">
        <f t="shared" si="71"/>
        <v>32300</v>
      </c>
      <c r="J271" s="13">
        <f t="shared" si="71"/>
        <v>32300</v>
      </c>
      <c r="K271" s="13">
        <f t="shared" si="71"/>
        <v>32400</v>
      </c>
      <c r="L271" s="13">
        <f t="shared" si="71"/>
        <v>32300</v>
      </c>
      <c r="M271" s="13">
        <f t="shared" si="71"/>
        <v>32300</v>
      </c>
      <c r="N271" s="13">
        <f t="shared" si="71"/>
        <v>32400</v>
      </c>
      <c r="O271" s="13">
        <f t="shared" si="71"/>
        <v>32300</v>
      </c>
      <c r="P271" s="13">
        <f t="shared" si="71"/>
        <v>32400</v>
      </c>
      <c r="Q271" s="13">
        <f t="shared" si="71"/>
        <v>32400</v>
      </c>
      <c r="R271" s="13">
        <f t="shared" si="71"/>
        <v>32300</v>
      </c>
      <c r="S271" s="13">
        <f t="shared" si="71"/>
        <v>32400</v>
      </c>
      <c r="T271" s="13">
        <f t="shared" si="71"/>
        <v>32400</v>
      </c>
      <c r="U271" s="101"/>
      <c r="V271" s="87">
        <f t="shared" si="69"/>
        <v>388200</v>
      </c>
    </row>
    <row r="272" spans="1:22" ht="25.5">
      <c r="A272" s="56" t="s">
        <v>87</v>
      </c>
      <c r="B272" s="48" t="s">
        <v>176</v>
      </c>
      <c r="C272" s="10" t="s">
        <v>44</v>
      </c>
      <c r="D272" s="10">
        <v>6910141210</v>
      </c>
      <c r="E272" s="10">
        <v>312</v>
      </c>
      <c r="F272" s="10">
        <v>263</v>
      </c>
      <c r="G272" s="14"/>
      <c r="H272" s="14">
        <v>388200</v>
      </c>
      <c r="I272" s="14">
        <v>32300</v>
      </c>
      <c r="J272" s="14">
        <v>32300</v>
      </c>
      <c r="K272" s="14">
        <v>32400</v>
      </c>
      <c r="L272" s="14">
        <v>32300</v>
      </c>
      <c r="M272" s="14">
        <v>32300</v>
      </c>
      <c r="N272" s="14">
        <v>32400</v>
      </c>
      <c r="O272" s="14">
        <v>32300</v>
      </c>
      <c r="P272" s="14">
        <v>32400</v>
      </c>
      <c r="Q272" s="14">
        <v>32400</v>
      </c>
      <c r="R272" s="14">
        <v>32300</v>
      </c>
      <c r="S272" s="14">
        <v>32400</v>
      </c>
      <c r="T272" s="14">
        <v>32400</v>
      </c>
      <c r="U272" s="100"/>
      <c r="V272" s="15">
        <f t="shared" si="69"/>
        <v>388200</v>
      </c>
    </row>
    <row r="273" spans="1:22" ht="12.75">
      <c r="A273" s="56"/>
      <c r="B273" s="23"/>
      <c r="C273" s="16"/>
      <c r="D273" s="16"/>
      <c r="E273" s="16"/>
      <c r="F273" s="16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00"/>
      <c r="V273" s="15">
        <f t="shared" si="69"/>
        <v>0</v>
      </c>
    </row>
    <row r="274" spans="1:22" ht="12.75">
      <c r="A274" s="56"/>
      <c r="B274" s="25" t="s">
        <v>45</v>
      </c>
      <c r="C274" s="25" t="s">
        <v>44</v>
      </c>
      <c r="D274" s="16"/>
      <c r="E274" s="16"/>
      <c r="F274" s="16"/>
      <c r="G274" s="14"/>
      <c r="H274" s="30">
        <f aca="true" t="shared" si="72" ref="H274:T274">H271</f>
        <v>388200</v>
      </c>
      <c r="I274" s="30">
        <f t="shared" si="72"/>
        <v>32300</v>
      </c>
      <c r="J274" s="30">
        <f t="shared" si="72"/>
        <v>32300</v>
      </c>
      <c r="K274" s="30">
        <f t="shared" si="72"/>
        <v>32400</v>
      </c>
      <c r="L274" s="30">
        <f t="shared" si="72"/>
        <v>32300</v>
      </c>
      <c r="M274" s="30">
        <f t="shared" si="72"/>
        <v>32300</v>
      </c>
      <c r="N274" s="30">
        <f t="shared" si="72"/>
        <v>32400</v>
      </c>
      <c r="O274" s="30">
        <f t="shared" si="72"/>
        <v>32300</v>
      </c>
      <c r="P274" s="30">
        <f t="shared" si="72"/>
        <v>32400</v>
      </c>
      <c r="Q274" s="30">
        <f t="shared" si="72"/>
        <v>32400</v>
      </c>
      <c r="R274" s="30">
        <f t="shared" si="72"/>
        <v>32300</v>
      </c>
      <c r="S274" s="30">
        <f t="shared" si="72"/>
        <v>32400</v>
      </c>
      <c r="T274" s="30">
        <f t="shared" si="72"/>
        <v>32400</v>
      </c>
      <c r="U274" s="102"/>
      <c r="V274" s="86">
        <f t="shared" si="69"/>
        <v>388200</v>
      </c>
    </row>
    <row r="275" spans="1:22" ht="12.75">
      <c r="A275" s="56"/>
      <c r="B275" s="25"/>
      <c r="C275" s="26"/>
      <c r="D275" s="16"/>
      <c r="E275" s="16"/>
      <c r="F275" s="16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00"/>
      <c r="V275" s="15">
        <f t="shared" si="69"/>
        <v>0</v>
      </c>
    </row>
    <row r="276" spans="1:22" ht="89.25">
      <c r="A276" s="62" t="s">
        <v>87</v>
      </c>
      <c r="B276" s="90" t="s">
        <v>134</v>
      </c>
      <c r="C276" s="37" t="s">
        <v>69</v>
      </c>
      <c r="D276" s="37">
        <v>7000000000</v>
      </c>
      <c r="E276" s="37"/>
      <c r="F276" s="37"/>
      <c r="G276" s="37"/>
      <c r="H276" s="13">
        <f aca="true" t="shared" si="73" ref="H276:T276">H277</f>
        <v>50000</v>
      </c>
      <c r="I276" s="13">
        <f t="shared" si="73"/>
        <v>0</v>
      </c>
      <c r="J276" s="13">
        <f t="shared" si="73"/>
        <v>0</v>
      </c>
      <c r="K276" s="13">
        <f t="shared" si="73"/>
        <v>0</v>
      </c>
      <c r="L276" s="13">
        <f t="shared" si="73"/>
        <v>50000</v>
      </c>
      <c r="M276" s="13">
        <f t="shared" si="73"/>
        <v>0</v>
      </c>
      <c r="N276" s="13">
        <f t="shared" si="73"/>
        <v>0</v>
      </c>
      <c r="O276" s="13">
        <f t="shared" si="73"/>
        <v>0</v>
      </c>
      <c r="P276" s="13">
        <f t="shared" si="73"/>
        <v>0</v>
      </c>
      <c r="Q276" s="13">
        <f t="shared" si="73"/>
        <v>0</v>
      </c>
      <c r="R276" s="13">
        <f t="shared" si="73"/>
        <v>0</v>
      </c>
      <c r="S276" s="13">
        <f t="shared" si="73"/>
        <v>0</v>
      </c>
      <c r="T276" s="13">
        <f t="shared" si="73"/>
        <v>0</v>
      </c>
      <c r="U276" s="101"/>
      <c r="V276" s="87">
        <f t="shared" si="69"/>
        <v>50000</v>
      </c>
    </row>
    <row r="277" spans="1:22" ht="59.25" customHeight="1">
      <c r="A277" s="56" t="s">
        <v>87</v>
      </c>
      <c r="B277" s="48" t="s">
        <v>177</v>
      </c>
      <c r="C277" s="23" t="s">
        <v>69</v>
      </c>
      <c r="D277" s="10">
        <v>7010110300</v>
      </c>
      <c r="E277" s="10">
        <v>633</v>
      </c>
      <c r="F277" s="10">
        <v>290</v>
      </c>
      <c r="G277" s="14"/>
      <c r="H277" s="14">
        <v>50000</v>
      </c>
      <c r="I277" s="14">
        <v>0</v>
      </c>
      <c r="J277" s="14">
        <v>0</v>
      </c>
      <c r="K277" s="14">
        <v>0</v>
      </c>
      <c r="L277" s="14">
        <v>50000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00"/>
      <c r="V277" s="15">
        <f t="shared" si="69"/>
        <v>50000</v>
      </c>
    </row>
    <row r="278" spans="1:22" ht="12.75">
      <c r="A278" s="56"/>
      <c r="B278" s="25"/>
      <c r="C278" s="11"/>
      <c r="D278" s="10"/>
      <c r="E278" s="10"/>
      <c r="F278" s="10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00"/>
      <c r="V278" s="15">
        <f t="shared" si="69"/>
        <v>0</v>
      </c>
    </row>
    <row r="279" spans="1:22" ht="12.75">
      <c r="A279" s="56"/>
      <c r="B279" s="25" t="s">
        <v>45</v>
      </c>
      <c r="C279" s="25" t="s">
        <v>69</v>
      </c>
      <c r="D279" s="10"/>
      <c r="E279" s="10"/>
      <c r="F279" s="10"/>
      <c r="G279" s="14"/>
      <c r="H279" s="30">
        <f aca="true" t="shared" si="74" ref="H279:T279">H276</f>
        <v>50000</v>
      </c>
      <c r="I279" s="30">
        <f t="shared" si="74"/>
        <v>0</v>
      </c>
      <c r="J279" s="30">
        <f t="shared" si="74"/>
        <v>0</v>
      </c>
      <c r="K279" s="30">
        <f t="shared" si="74"/>
        <v>0</v>
      </c>
      <c r="L279" s="30">
        <f t="shared" si="74"/>
        <v>50000</v>
      </c>
      <c r="M279" s="30">
        <f t="shared" si="74"/>
        <v>0</v>
      </c>
      <c r="N279" s="30">
        <f t="shared" si="74"/>
        <v>0</v>
      </c>
      <c r="O279" s="30">
        <f t="shared" si="74"/>
        <v>0</v>
      </c>
      <c r="P279" s="30">
        <f t="shared" si="74"/>
        <v>0</v>
      </c>
      <c r="Q279" s="30">
        <f t="shared" si="74"/>
        <v>0</v>
      </c>
      <c r="R279" s="30">
        <f t="shared" si="74"/>
        <v>0</v>
      </c>
      <c r="S279" s="30">
        <f t="shared" si="74"/>
        <v>0</v>
      </c>
      <c r="T279" s="30">
        <f t="shared" si="74"/>
        <v>0</v>
      </c>
      <c r="U279" s="102"/>
      <c r="V279" s="86">
        <f t="shared" si="69"/>
        <v>50000</v>
      </c>
    </row>
    <row r="280" spans="1:22" ht="12.75">
      <c r="A280" s="56"/>
      <c r="B280" s="25"/>
      <c r="C280" s="26"/>
      <c r="D280" s="16"/>
      <c r="E280" s="16"/>
      <c r="F280" s="16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00"/>
      <c r="V280" s="15">
        <f t="shared" si="69"/>
        <v>0</v>
      </c>
    </row>
    <row r="281" spans="1:22" ht="12.75">
      <c r="A281" s="66"/>
      <c r="B281" s="92" t="s">
        <v>70</v>
      </c>
      <c r="C281" s="68"/>
      <c r="D281" s="44"/>
      <c r="E281" s="44"/>
      <c r="F281" s="44"/>
      <c r="G281" s="49"/>
      <c r="H281" s="42">
        <f aca="true" t="shared" si="75" ref="H281:T281">H276+H271</f>
        <v>438200</v>
      </c>
      <c r="I281" s="42">
        <f t="shared" si="75"/>
        <v>32300</v>
      </c>
      <c r="J281" s="42">
        <f t="shared" si="75"/>
        <v>32300</v>
      </c>
      <c r="K281" s="42">
        <f t="shared" si="75"/>
        <v>32400</v>
      </c>
      <c r="L281" s="42">
        <f t="shared" si="75"/>
        <v>82300</v>
      </c>
      <c r="M281" s="42">
        <f t="shared" si="75"/>
        <v>32300</v>
      </c>
      <c r="N281" s="42">
        <f t="shared" si="75"/>
        <v>32400</v>
      </c>
      <c r="O281" s="42">
        <f t="shared" si="75"/>
        <v>32300</v>
      </c>
      <c r="P281" s="42">
        <f t="shared" si="75"/>
        <v>32400</v>
      </c>
      <c r="Q281" s="42">
        <f t="shared" si="75"/>
        <v>32400</v>
      </c>
      <c r="R281" s="42">
        <f t="shared" si="75"/>
        <v>32300</v>
      </c>
      <c r="S281" s="42">
        <f t="shared" si="75"/>
        <v>32400</v>
      </c>
      <c r="T281" s="42">
        <f t="shared" si="75"/>
        <v>32400</v>
      </c>
      <c r="U281" s="104"/>
      <c r="V281" s="50">
        <f t="shared" si="69"/>
        <v>438200</v>
      </c>
    </row>
    <row r="282" spans="1:22" ht="12.75">
      <c r="A282" s="56"/>
      <c r="B282" s="23"/>
      <c r="C282" s="16"/>
      <c r="D282" s="16"/>
      <c r="E282" s="16"/>
      <c r="F282" s="16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00"/>
      <c r="V282" s="15">
        <f t="shared" si="69"/>
        <v>0</v>
      </c>
    </row>
    <row r="283" spans="1:22" ht="63.75">
      <c r="A283" s="62" t="s">
        <v>87</v>
      </c>
      <c r="B283" s="90" t="s">
        <v>135</v>
      </c>
      <c r="C283" s="37" t="s">
        <v>24</v>
      </c>
      <c r="D283" s="37">
        <v>7100000000</v>
      </c>
      <c r="E283" s="36"/>
      <c r="F283" s="36"/>
      <c r="G283" s="37"/>
      <c r="H283" s="13">
        <f aca="true" t="shared" si="76" ref="H283:T283">H285+H299+H302</f>
        <v>6011700</v>
      </c>
      <c r="I283" s="13">
        <f t="shared" si="76"/>
        <v>254650</v>
      </c>
      <c r="J283" s="13">
        <f t="shared" si="76"/>
        <v>520350</v>
      </c>
      <c r="K283" s="13">
        <f t="shared" si="76"/>
        <v>505950</v>
      </c>
      <c r="L283" s="13">
        <f t="shared" si="76"/>
        <v>527050</v>
      </c>
      <c r="M283" s="13">
        <f t="shared" si="76"/>
        <v>480200</v>
      </c>
      <c r="N283" s="13">
        <f t="shared" si="76"/>
        <v>476550</v>
      </c>
      <c r="O283" s="13">
        <f t="shared" si="76"/>
        <v>631100</v>
      </c>
      <c r="P283" s="13">
        <f t="shared" si="76"/>
        <v>460050</v>
      </c>
      <c r="Q283" s="13">
        <f t="shared" si="76"/>
        <v>450850</v>
      </c>
      <c r="R283" s="13">
        <f t="shared" si="76"/>
        <v>445250</v>
      </c>
      <c r="S283" s="13">
        <f t="shared" si="76"/>
        <v>638150</v>
      </c>
      <c r="T283" s="13">
        <f t="shared" si="76"/>
        <v>621550</v>
      </c>
      <c r="U283" s="101"/>
      <c r="V283" s="87">
        <f>V285+V302+V299</f>
        <v>6011700</v>
      </c>
    </row>
    <row r="284" spans="1:22" ht="12.75">
      <c r="A284" s="56"/>
      <c r="B284" s="67"/>
      <c r="C284" s="12"/>
      <c r="D284" s="12"/>
      <c r="E284" s="12"/>
      <c r="F284" s="12"/>
      <c r="G284" s="31"/>
      <c r="H284" s="3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00"/>
      <c r="V284" s="15">
        <f>SUM(I284:T284)</f>
        <v>0</v>
      </c>
    </row>
    <row r="285" spans="1:22" ht="63.75">
      <c r="A285" s="62" t="s">
        <v>87</v>
      </c>
      <c r="B285" s="90" t="s">
        <v>136</v>
      </c>
      <c r="C285" s="37" t="s">
        <v>24</v>
      </c>
      <c r="D285" s="37">
        <v>7110000000</v>
      </c>
      <c r="E285" s="36"/>
      <c r="F285" s="36"/>
      <c r="G285" s="37"/>
      <c r="H285" s="13">
        <f aca="true" t="shared" si="77" ref="H285:T285">H286+H287+H288+H289+H290+H291+H292+H293+H295+H296+H297+H294</f>
        <v>5801700</v>
      </c>
      <c r="I285" s="13">
        <f t="shared" si="77"/>
        <v>254650</v>
      </c>
      <c r="J285" s="13">
        <f t="shared" si="77"/>
        <v>499850</v>
      </c>
      <c r="K285" s="13">
        <f t="shared" si="77"/>
        <v>495450</v>
      </c>
      <c r="L285" s="13">
        <f t="shared" si="77"/>
        <v>517050</v>
      </c>
      <c r="M285" s="13">
        <f t="shared" si="77"/>
        <v>472950</v>
      </c>
      <c r="N285" s="13">
        <f t="shared" si="77"/>
        <v>464050</v>
      </c>
      <c r="O285" s="13">
        <f t="shared" si="77"/>
        <v>612350</v>
      </c>
      <c r="P285" s="13">
        <f t="shared" si="77"/>
        <v>447550</v>
      </c>
      <c r="Q285" s="13">
        <f t="shared" si="77"/>
        <v>450850</v>
      </c>
      <c r="R285" s="13">
        <f t="shared" si="77"/>
        <v>445250</v>
      </c>
      <c r="S285" s="13">
        <f t="shared" si="77"/>
        <v>633650</v>
      </c>
      <c r="T285" s="13">
        <f t="shared" si="77"/>
        <v>508050</v>
      </c>
      <c r="U285" s="58"/>
      <c r="V285" s="88">
        <f>V286+V287+V288+V289+V290+V291+V292+V293+V295+V296+V297+V294</f>
        <v>5801700</v>
      </c>
    </row>
    <row r="286" spans="1:22" ht="102">
      <c r="A286" s="56" t="s">
        <v>87</v>
      </c>
      <c r="B286" s="109" t="s">
        <v>178</v>
      </c>
      <c r="C286" s="10" t="s">
        <v>24</v>
      </c>
      <c r="D286" s="10">
        <v>7110100590</v>
      </c>
      <c r="E286" s="10">
        <v>611</v>
      </c>
      <c r="F286" s="10">
        <v>211</v>
      </c>
      <c r="G286" s="31"/>
      <c r="H286" s="14">
        <v>4014000</v>
      </c>
      <c r="I286" s="14">
        <v>135000</v>
      </c>
      <c r="J286" s="14">
        <v>334500</v>
      </c>
      <c r="K286" s="14">
        <v>334500</v>
      </c>
      <c r="L286" s="14">
        <v>334500</v>
      </c>
      <c r="M286" s="14">
        <v>334500</v>
      </c>
      <c r="N286" s="14">
        <v>334550</v>
      </c>
      <c r="O286" s="14">
        <f>334550+98700</f>
        <v>433250</v>
      </c>
      <c r="P286" s="14">
        <v>334500</v>
      </c>
      <c r="Q286" s="14">
        <v>334500</v>
      </c>
      <c r="R286" s="14">
        <v>334500</v>
      </c>
      <c r="S286" s="14">
        <f>334500+100700</f>
        <v>435200</v>
      </c>
      <c r="T286" s="14">
        <v>334500</v>
      </c>
      <c r="U286" s="100"/>
      <c r="V286" s="15">
        <f aca="true" t="shared" si="78" ref="V286:V297">SUM(I286:T286)</f>
        <v>4014000</v>
      </c>
    </row>
    <row r="287" spans="1:22" ht="102">
      <c r="A287" s="56" t="s">
        <v>87</v>
      </c>
      <c r="B287" s="109" t="s">
        <v>179</v>
      </c>
      <c r="C287" s="10" t="s">
        <v>24</v>
      </c>
      <c r="D287" s="10">
        <v>7110100590</v>
      </c>
      <c r="E287" s="10">
        <v>611</v>
      </c>
      <c r="F287" s="10">
        <v>213</v>
      </c>
      <c r="G287" s="31"/>
      <c r="H287" s="14">
        <v>1212300</v>
      </c>
      <c r="I287" s="14">
        <v>40500</v>
      </c>
      <c r="J287" s="14">
        <v>101100</v>
      </c>
      <c r="K287" s="14">
        <v>101100</v>
      </c>
      <c r="L287" s="14">
        <v>101100</v>
      </c>
      <c r="M287" s="14">
        <v>101100</v>
      </c>
      <c r="N287" s="14">
        <v>101100</v>
      </c>
      <c r="O287" s="14">
        <v>151100</v>
      </c>
      <c r="P287" s="14">
        <f>81200</f>
        <v>81200</v>
      </c>
      <c r="Q287" s="14">
        <v>81200</v>
      </c>
      <c r="R287" s="14">
        <v>81200</v>
      </c>
      <c r="S287" s="14">
        <f>101100+50000</f>
        <v>151100</v>
      </c>
      <c r="T287" s="14">
        <f>101100+50000-30600</f>
        <v>120500</v>
      </c>
      <c r="U287" s="100"/>
      <c r="V287" s="15">
        <f t="shared" si="78"/>
        <v>1212300</v>
      </c>
    </row>
    <row r="288" spans="1:22" ht="12.75" hidden="1">
      <c r="A288" s="56" t="s">
        <v>87</v>
      </c>
      <c r="B288" s="23" t="s">
        <v>13</v>
      </c>
      <c r="C288" s="16" t="s">
        <v>24</v>
      </c>
      <c r="D288" s="10">
        <v>7110100590</v>
      </c>
      <c r="E288" s="16">
        <v>611</v>
      </c>
      <c r="F288" s="16">
        <v>226</v>
      </c>
      <c r="G288" s="31"/>
      <c r="H288" s="14">
        <f>V288</f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00"/>
      <c r="V288" s="15">
        <f t="shared" si="78"/>
        <v>0</v>
      </c>
    </row>
    <row r="289" spans="1:22" ht="140.25">
      <c r="A289" s="56" t="s">
        <v>87</v>
      </c>
      <c r="B289" s="48" t="s">
        <v>194</v>
      </c>
      <c r="C289" s="10" t="s">
        <v>24</v>
      </c>
      <c r="D289" s="10">
        <v>7110100590</v>
      </c>
      <c r="E289" s="10">
        <v>611</v>
      </c>
      <c r="F289" s="10">
        <v>221</v>
      </c>
      <c r="G289" s="10" t="s">
        <v>71</v>
      </c>
      <c r="H289" s="14">
        <v>36300</v>
      </c>
      <c r="I289" s="14">
        <f aca="true" t="shared" si="79" ref="I289:N289">2500+1600-1100</f>
        <v>3000</v>
      </c>
      <c r="J289" s="14">
        <f t="shared" si="79"/>
        <v>3000</v>
      </c>
      <c r="K289" s="14">
        <f t="shared" si="79"/>
        <v>3000</v>
      </c>
      <c r="L289" s="14">
        <f t="shared" si="79"/>
        <v>3000</v>
      </c>
      <c r="M289" s="14">
        <f t="shared" si="79"/>
        <v>3000</v>
      </c>
      <c r="N289" s="14">
        <f t="shared" si="79"/>
        <v>3000</v>
      </c>
      <c r="O289" s="14">
        <v>1600</v>
      </c>
      <c r="P289" s="14">
        <f>2500+1600-1100</f>
        <v>3000</v>
      </c>
      <c r="Q289" s="14">
        <f>2500+1600-1100</f>
        <v>3000</v>
      </c>
      <c r="R289" s="14">
        <f>2500+1600-1100</f>
        <v>3000</v>
      </c>
      <c r="S289" s="14">
        <v>4000</v>
      </c>
      <c r="T289" s="14">
        <v>3700</v>
      </c>
      <c r="U289" s="100"/>
      <c r="V289" s="15">
        <f t="shared" si="78"/>
        <v>36300</v>
      </c>
    </row>
    <row r="290" spans="1:22" ht="140.25">
      <c r="A290" s="56" t="s">
        <v>87</v>
      </c>
      <c r="B290" s="48" t="s">
        <v>194</v>
      </c>
      <c r="C290" s="10" t="s">
        <v>24</v>
      </c>
      <c r="D290" s="10">
        <v>7110100590</v>
      </c>
      <c r="E290" s="10">
        <v>611</v>
      </c>
      <c r="F290" s="10">
        <v>221</v>
      </c>
      <c r="G290" s="10" t="s">
        <v>72</v>
      </c>
      <c r="H290" s="14">
        <v>7000</v>
      </c>
      <c r="I290" s="14">
        <v>500</v>
      </c>
      <c r="J290" s="14">
        <v>500</v>
      </c>
      <c r="K290" s="14">
        <v>500</v>
      </c>
      <c r="L290" s="14">
        <v>500</v>
      </c>
      <c r="M290" s="14">
        <v>500</v>
      </c>
      <c r="N290" s="14">
        <v>500</v>
      </c>
      <c r="O290" s="14">
        <v>500</v>
      </c>
      <c r="P290" s="14">
        <v>500</v>
      </c>
      <c r="Q290" s="14">
        <v>500</v>
      </c>
      <c r="R290" s="14">
        <v>500</v>
      </c>
      <c r="S290" s="14">
        <v>1000</v>
      </c>
      <c r="T290" s="14">
        <v>1000</v>
      </c>
      <c r="U290" s="100"/>
      <c r="V290" s="15">
        <f t="shared" si="78"/>
        <v>7000</v>
      </c>
    </row>
    <row r="291" spans="1:22" ht="114.75">
      <c r="A291" s="56" t="s">
        <v>87</v>
      </c>
      <c r="B291" s="110" t="s">
        <v>180</v>
      </c>
      <c r="C291" s="10" t="s">
        <v>24</v>
      </c>
      <c r="D291" s="10">
        <v>7110100590</v>
      </c>
      <c r="E291" s="10">
        <v>611</v>
      </c>
      <c r="F291" s="10">
        <v>223</v>
      </c>
      <c r="G291" s="10" t="s">
        <v>73</v>
      </c>
      <c r="H291" s="14">
        <v>180900</v>
      </c>
      <c r="I291" s="14">
        <v>14000</v>
      </c>
      <c r="J291" s="14">
        <v>14400</v>
      </c>
      <c r="K291" s="14">
        <v>25000</v>
      </c>
      <c r="L291" s="14">
        <v>14500</v>
      </c>
      <c r="M291" s="14">
        <v>22000</v>
      </c>
      <c r="N291" s="14">
        <v>14000</v>
      </c>
      <c r="O291" s="14">
        <v>14000</v>
      </c>
      <c r="P291" s="14">
        <v>14000</v>
      </c>
      <c r="Q291" s="14">
        <v>6700</v>
      </c>
      <c r="R291" s="14">
        <v>14000</v>
      </c>
      <c r="S291" s="14">
        <v>20000</v>
      </c>
      <c r="T291" s="14">
        <v>8300</v>
      </c>
      <c r="U291" s="100"/>
      <c r="V291" s="15">
        <f t="shared" si="78"/>
        <v>180900</v>
      </c>
    </row>
    <row r="292" spans="1:22" ht="98.25" customHeight="1">
      <c r="A292" s="56" t="s">
        <v>87</v>
      </c>
      <c r="B292" s="48" t="s">
        <v>187</v>
      </c>
      <c r="C292" s="10" t="s">
        <v>24</v>
      </c>
      <c r="D292" s="10">
        <v>7110100590</v>
      </c>
      <c r="E292" s="10">
        <v>611</v>
      </c>
      <c r="F292" s="10">
        <v>223</v>
      </c>
      <c r="G292" s="10" t="s">
        <v>38</v>
      </c>
      <c r="H292" s="14">
        <v>10300</v>
      </c>
      <c r="I292" s="14">
        <v>850</v>
      </c>
      <c r="J292" s="14">
        <v>850</v>
      </c>
      <c r="K292" s="14">
        <v>850</v>
      </c>
      <c r="L292" s="14">
        <v>850</v>
      </c>
      <c r="M292" s="14">
        <v>850</v>
      </c>
      <c r="N292" s="14">
        <v>900</v>
      </c>
      <c r="O292" s="14">
        <v>900</v>
      </c>
      <c r="P292" s="14">
        <v>850</v>
      </c>
      <c r="Q292" s="14">
        <v>850</v>
      </c>
      <c r="R292" s="14">
        <v>850</v>
      </c>
      <c r="S292" s="14">
        <v>850</v>
      </c>
      <c r="T292" s="14">
        <v>850</v>
      </c>
      <c r="U292" s="100"/>
      <c r="V292" s="15">
        <f t="shared" si="78"/>
        <v>10300</v>
      </c>
    </row>
    <row r="293" spans="1:22" ht="102.75" customHeight="1">
      <c r="A293" s="56" t="s">
        <v>87</v>
      </c>
      <c r="B293" s="111" t="s">
        <v>180</v>
      </c>
      <c r="C293" s="10" t="s">
        <v>24</v>
      </c>
      <c r="D293" s="10">
        <v>7110100590</v>
      </c>
      <c r="E293" s="10">
        <v>611</v>
      </c>
      <c r="F293" s="10">
        <v>223</v>
      </c>
      <c r="G293" s="10" t="s">
        <v>40</v>
      </c>
      <c r="H293" s="14">
        <v>128000</v>
      </c>
      <c r="I293" s="14">
        <v>8800</v>
      </c>
      <c r="J293" s="14">
        <v>33000</v>
      </c>
      <c r="K293" s="14">
        <f>29600+3300-13400</f>
        <v>19500</v>
      </c>
      <c r="L293" s="14">
        <v>15500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6200</v>
      </c>
      <c r="S293" s="14">
        <v>14500</v>
      </c>
      <c r="T293" s="14">
        <v>30500</v>
      </c>
      <c r="U293" s="100"/>
      <c r="V293" s="15">
        <f t="shared" si="78"/>
        <v>128000</v>
      </c>
    </row>
    <row r="294" spans="1:22" ht="102" customHeight="1">
      <c r="A294" s="56" t="s">
        <v>87</v>
      </c>
      <c r="B294" s="63" t="s">
        <v>184</v>
      </c>
      <c r="C294" s="10" t="s">
        <v>24</v>
      </c>
      <c r="D294" s="10">
        <v>7110100590</v>
      </c>
      <c r="E294" s="10">
        <v>611</v>
      </c>
      <c r="F294" s="10">
        <v>226</v>
      </c>
      <c r="G294" s="10"/>
      <c r="H294" s="14">
        <f>30000+38600+30000+3000+11200</f>
        <v>112800</v>
      </c>
      <c r="I294" s="14">
        <v>1500</v>
      </c>
      <c r="J294" s="14">
        <v>7000</v>
      </c>
      <c r="K294" s="14">
        <v>7000</v>
      </c>
      <c r="L294" s="14">
        <v>43100</v>
      </c>
      <c r="M294" s="14">
        <v>7000</v>
      </c>
      <c r="N294" s="14">
        <v>6000</v>
      </c>
      <c r="O294" s="14">
        <v>7000</v>
      </c>
      <c r="P294" s="14">
        <v>8500</v>
      </c>
      <c r="Q294" s="14">
        <v>5000</v>
      </c>
      <c r="R294" s="14">
        <v>5000</v>
      </c>
      <c r="S294" s="14">
        <v>7000</v>
      </c>
      <c r="T294" s="14">
        <v>8700</v>
      </c>
      <c r="U294" s="100"/>
      <c r="V294" s="15">
        <f t="shared" si="78"/>
        <v>112800</v>
      </c>
    </row>
    <row r="295" spans="1:22" ht="114.75">
      <c r="A295" s="56" t="s">
        <v>87</v>
      </c>
      <c r="B295" s="48" t="s">
        <v>182</v>
      </c>
      <c r="C295" s="10" t="s">
        <v>24</v>
      </c>
      <c r="D295" s="10">
        <v>7110100590</v>
      </c>
      <c r="E295" s="10">
        <v>611</v>
      </c>
      <c r="F295" s="10">
        <v>850</v>
      </c>
      <c r="G295" s="10" t="s">
        <v>50</v>
      </c>
      <c r="H295" s="14">
        <v>65000</v>
      </c>
      <c r="I295" s="14">
        <v>50500</v>
      </c>
      <c r="J295" s="14">
        <v>1500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13000</v>
      </c>
      <c r="R295" s="14">
        <v>0</v>
      </c>
      <c r="S295" s="14">
        <v>0</v>
      </c>
      <c r="T295" s="14">
        <v>0</v>
      </c>
      <c r="U295" s="100"/>
      <c r="V295" s="15">
        <f t="shared" si="78"/>
        <v>65000</v>
      </c>
    </row>
    <row r="296" spans="1:22" ht="12.75" hidden="1">
      <c r="A296" s="56" t="s">
        <v>87</v>
      </c>
      <c r="B296" s="23" t="s">
        <v>16</v>
      </c>
      <c r="C296" s="16" t="s">
        <v>24</v>
      </c>
      <c r="D296" s="10">
        <v>7110100590</v>
      </c>
      <c r="E296" s="16">
        <v>611</v>
      </c>
      <c r="F296" s="16">
        <v>310</v>
      </c>
      <c r="G296" s="10"/>
      <c r="H296" s="14">
        <f>V296</f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00"/>
      <c r="V296" s="15">
        <f t="shared" si="78"/>
        <v>0</v>
      </c>
    </row>
    <row r="297" spans="1:22" ht="114.75">
      <c r="A297" s="56" t="s">
        <v>87</v>
      </c>
      <c r="B297" s="48" t="s">
        <v>183</v>
      </c>
      <c r="C297" s="10" t="s">
        <v>24</v>
      </c>
      <c r="D297" s="10">
        <v>7110100590</v>
      </c>
      <c r="E297" s="10">
        <v>611</v>
      </c>
      <c r="F297" s="10">
        <v>340</v>
      </c>
      <c r="G297" s="10"/>
      <c r="H297" s="14">
        <f>20000+7600+6000+1500</f>
        <v>35100</v>
      </c>
      <c r="I297" s="14">
        <v>0</v>
      </c>
      <c r="J297" s="14">
        <v>4000</v>
      </c>
      <c r="K297" s="14">
        <v>4000</v>
      </c>
      <c r="L297" s="14">
        <v>4000</v>
      </c>
      <c r="M297" s="14">
        <v>4000</v>
      </c>
      <c r="N297" s="14">
        <v>4000</v>
      </c>
      <c r="O297" s="14">
        <v>4000</v>
      </c>
      <c r="P297" s="14">
        <v>5000</v>
      </c>
      <c r="Q297" s="14">
        <v>6100</v>
      </c>
      <c r="R297" s="14">
        <v>0</v>
      </c>
      <c r="S297" s="14">
        <v>0</v>
      </c>
      <c r="T297" s="14">
        <v>0</v>
      </c>
      <c r="U297" s="100"/>
      <c r="V297" s="15">
        <f t="shared" si="78"/>
        <v>35100</v>
      </c>
    </row>
    <row r="298" spans="1:22" ht="12.75">
      <c r="A298" s="56" t="s">
        <v>87</v>
      </c>
      <c r="B298" s="63"/>
      <c r="C298" s="16"/>
      <c r="D298" s="16"/>
      <c r="E298" s="16"/>
      <c r="F298" s="16"/>
      <c r="G298" s="10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00"/>
      <c r="V298" s="15"/>
    </row>
    <row r="299" spans="1:22" ht="66" customHeight="1">
      <c r="A299" s="62" t="s">
        <v>87</v>
      </c>
      <c r="B299" s="90" t="s">
        <v>138</v>
      </c>
      <c r="C299" s="37" t="s">
        <v>24</v>
      </c>
      <c r="D299" s="37">
        <v>7120000000</v>
      </c>
      <c r="E299" s="37"/>
      <c r="F299" s="37"/>
      <c r="G299" s="37"/>
      <c r="H299" s="13">
        <f aca="true" t="shared" si="80" ref="H299:T299">H300</f>
        <v>200000</v>
      </c>
      <c r="I299" s="13">
        <f t="shared" si="80"/>
        <v>0</v>
      </c>
      <c r="J299" s="13">
        <f t="shared" si="80"/>
        <v>20500</v>
      </c>
      <c r="K299" s="13">
        <f t="shared" si="80"/>
        <v>10499.999999999998</v>
      </c>
      <c r="L299" s="13">
        <f t="shared" si="80"/>
        <v>0</v>
      </c>
      <c r="M299" s="13">
        <f t="shared" si="80"/>
        <v>7249.999999999996</v>
      </c>
      <c r="N299" s="13">
        <f t="shared" si="80"/>
        <v>12499.999999999998</v>
      </c>
      <c r="O299" s="13">
        <f t="shared" si="80"/>
        <v>18750</v>
      </c>
      <c r="P299" s="13">
        <f t="shared" si="80"/>
        <v>12499.999999999996</v>
      </c>
      <c r="Q299" s="13">
        <f t="shared" si="80"/>
        <v>0</v>
      </c>
      <c r="R299" s="13">
        <f t="shared" si="80"/>
        <v>0</v>
      </c>
      <c r="S299" s="13">
        <f t="shared" si="80"/>
        <v>4500</v>
      </c>
      <c r="T299" s="13">
        <f t="shared" si="80"/>
        <v>113500</v>
      </c>
      <c r="U299" s="101"/>
      <c r="V299" s="87">
        <f>SUM(I299:T299)</f>
        <v>200000</v>
      </c>
    </row>
    <row r="300" spans="1:22" ht="97.5" customHeight="1">
      <c r="A300" s="56" t="s">
        <v>87</v>
      </c>
      <c r="B300" s="48" t="s">
        <v>188</v>
      </c>
      <c r="C300" s="10" t="s">
        <v>24</v>
      </c>
      <c r="D300" s="10">
        <v>7120100380</v>
      </c>
      <c r="E300" s="10">
        <v>611</v>
      </c>
      <c r="F300" s="10">
        <v>290</v>
      </c>
      <c r="G300" s="14"/>
      <c r="H300" s="14">
        <v>200000</v>
      </c>
      <c r="I300" s="14">
        <v>0</v>
      </c>
      <c r="J300" s="14">
        <f>16666.67+3833.33</f>
        <v>20500</v>
      </c>
      <c r="K300" s="14">
        <f>16666.67-6166.67</f>
        <v>10499.999999999998</v>
      </c>
      <c r="L300" s="14">
        <v>0</v>
      </c>
      <c r="M300" s="14">
        <f>16666.67+16666.67-26083.34</f>
        <v>7249.999999999996</v>
      </c>
      <c r="N300" s="14">
        <f>16666.67-4166.67</f>
        <v>12499.999999999998</v>
      </c>
      <c r="O300" s="14">
        <f>16666.67-2083.33+4166.66</f>
        <v>18750</v>
      </c>
      <c r="P300" s="14">
        <f>16666.67+4166.67-8333.34</f>
        <v>12499.999999999996</v>
      </c>
      <c r="Q300" s="14">
        <v>0</v>
      </c>
      <c r="R300" s="14">
        <v>0</v>
      </c>
      <c r="S300" s="14">
        <f>16666.67+16666.67-4166.66+42750.01-67416.69</f>
        <v>4500</v>
      </c>
      <c r="T300" s="14">
        <f>16666.63-3833.33+2083.33+8333.34+22833.34+67416.69</f>
        <v>113500</v>
      </c>
      <c r="U300" s="100"/>
      <c r="V300" s="15">
        <f>SUM(I300:T300)</f>
        <v>200000</v>
      </c>
    </row>
    <row r="301" spans="1:22" ht="12.75">
      <c r="A301" s="56" t="s">
        <v>87</v>
      </c>
      <c r="B301" s="23"/>
      <c r="C301" s="16"/>
      <c r="D301" s="16"/>
      <c r="E301" s="16"/>
      <c r="F301" s="16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 t="s">
        <v>94</v>
      </c>
      <c r="T301" s="14"/>
      <c r="U301" s="100"/>
      <c r="V301" s="15">
        <f>SUM(I301:T301)</f>
        <v>0</v>
      </c>
    </row>
    <row r="302" spans="1:22" ht="63.75">
      <c r="A302" s="62" t="s">
        <v>87</v>
      </c>
      <c r="B302" s="90" t="s">
        <v>137</v>
      </c>
      <c r="C302" s="37" t="s">
        <v>24</v>
      </c>
      <c r="D302" s="37">
        <v>7130000000</v>
      </c>
      <c r="E302" s="35"/>
      <c r="F302" s="35"/>
      <c r="G302" s="24"/>
      <c r="H302" s="13">
        <f aca="true" t="shared" si="81" ref="H302:S302">H303</f>
        <v>10000</v>
      </c>
      <c r="I302" s="13">
        <f t="shared" si="81"/>
        <v>0</v>
      </c>
      <c r="J302" s="13">
        <f t="shared" si="81"/>
        <v>0</v>
      </c>
      <c r="K302" s="13">
        <f t="shared" si="81"/>
        <v>0</v>
      </c>
      <c r="L302" s="13">
        <f t="shared" si="81"/>
        <v>10000</v>
      </c>
      <c r="M302" s="13">
        <f t="shared" si="81"/>
        <v>0</v>
      </c>
      <c r="N302" s="13">
        <f t="shared" si="81"/>
        <v>0</v>
      </c>
      <c r="O302" s="13">
        <f t="shared" si="81"/>
        <v>0</v>
      </c>
      <c r="P302" s="13">
        <f t="shared" si="81"/>
        <v>0</v>
      </c>
      <c r="Q302" s="13">
        <f t="shared" si="81"/>
        <v>0</v>
      </c>
      <c r="R302" s="13">
        <f t="shared" si="81"/>
        <v>0</v>
      </c>
      <c r="S302" s="13">
        <f t="shared" si="81"/>
        <v>0</v>
      </c>
      <c r="T302" s="13">
        <v>0</v>
      </c>
      <c r="U302" s="101"/>
      <c r="V302" s="87">
        <f>V303</f>
        <v>10000</v>
      </c>
    </row>
    <row r="303" spans="1:22" ht="42" customHeight="1">
      <c r="A303" s="56" t="s">
        <v>87</v>
      </c>
      <c r="B303" s="48" t="s">
        <v>189</v>
      </c>
      <c r="C303" s="10" t="s">
        <v>24</v>
      </c>
      <c r="D303" s="10">
        <v>7130100390</v>
      </c>
      <c r="E303" s="10">
        <v>240</v>
      </c>
      <c r="F303" s="10">
        <v>226</v>
      </c>
      <c r="G303" s="14"/>
      <c r="H303" s="14">
        <v>10000</v>
      </c>
      <c r="I303" s="14">
        <v>0</v>
      </c>
      <c r="J303" s="14">
        <v>0</v>
      </c>
      <c r="K303" s="14">
        <v>0</v>
      </c>
      <c r="L303" s="14">
        <v>10000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00"/>
      <c r="V303" s="15">
        <f>SUM(I303:T303)</f>
        <v>10000</v>
      </c>
    </row>
    <row r="304" spans="1:22" ht="12.75">
      <c r="A304" s="56"/>
      <c r="B304" s="23"/>
      <c r="C304" s="10"/>
      <c r="D304" s="10"/>
      <c r="E304" s="10"/>
      <c r="F304" s="10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07"/>
      <c r="V304" s="15"/>
    </row>
    <row r="305" spans="1:22" ht="12.75">
      <c r="A305" s="56"/>
      <c r="B305" s="25" t="s">
        <v>45</v>
      </c>
      <c r="C305" s="25" t="s">
        <v>24</v>
      </c>
      <c r="D305" s="16"/>
      <c r="E305" s="16"/>
      <c r="F305" s="16"/>
      <c r="G305" s="14"/>
      <c r="H305" s="30">
        <f aca="true" t="shared" si="82" ref="H305:T305">H302+H299+H285</f>
        <v>6011700</v>
      </c>
      <c r="I305" s="30">
        <f t="shared" si="82"/>
        <v>254650</v>
      </c>
      <c r="J305" s="30">
        <f t="shared" si="82"/>
        <v>520350</v>
      </c>
      <c r="K305" s="30">
        <f t="shared" si="82"/>
        <v>505950</v>
      </c>
      <c r="L305" s="30">
        <f t="shared" si="82"/>
        <v>527050</v>
      </c>
      <c r="M305" s="30">
        <f t="shared" si="82"/>
        <v>480200</v>
      </c>
      <c r="N305" s="30">
        <f t="shared" si="82"/>
        <v>476550</v>
      </c>
      <c r="O305" s="30">
        <f t="shared" si="82"/>
        <v>631100</v>
      </c>
      <c r="P305" s="30">
        <f t="shared" si="82"/>
        <v>460050</v>
      </c>
      <c r="Q305" s="30">
        <f t="shared" si="82"/>
        <v>450850</v>
      </c>
      <c r="R305" s="30">
        <f t="shared" si="82"/>
        <v>445250</v>
      </c>
      <c r="S305" s="30">
        <f t="shared" si="82"/>
        <v>638150</v>
      </c>
      <c r="T305" s="30">
        <f t="shared" si="82"/>
        <v>621550</v>
      </c>
      <c r="U305" s="97"/>
      <c r="V305" s="97">
        <f>V302+V299+V285</f>
        <v>6011700</v>
      </c>
    </row>
    <row r="306" spans="1:22" ht="12.75">
      <c r="A306" s="56"/>
      <c r="B306" s="25"/>
      <c r="C306" s="26"/>
      <c r="D306" s="16"/>
      <c r="E306" s="16"/>
      <c r="F306" s="16"/>
      <c r="G306" s="14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102"/>
      <c r="V306" s="15">
        <f>SUM(I306:T306)</f>
        <v>0</v>
      </c>
    </row>
    <row r="307" spans="1:22" ht="25.5" hidden="1">
      <c r="A307" s="56" t="s">
        <v>37</v>
      </c>
      <c r="B307" s="90" t="s">
        <v>76</v>
      </c>
      <c r="C307" s="36" t="s">
        <v>77</v>
      </c>
      <c r="D307" s="36">
        <v>9510010520</v>
      </c>
      <c r="E307" s="36"/>
      <c r="F307" s="36"/>
      <c r="G307" s="13"/>
      <c r="H307" s="13">
        <f aca="true" t="shared" si="83" ref="H307:T307">H308</f>
        <v>0</v>
      </c>
      <c r="I307" s="13">
        <f t="shared" si="83"/>
        <v>0</v>
      </c>
      <c r="J307" s="13">
        <f t="shared" si="83"/>
        <v>0</v>
      </c>
      <c r="K307" s="13">
        <f t="shared" si="83"/>
        <v>0</v>
      </c>
      <c r="L307" s="13">
        <f t="shared" si="83"/>
        <v>0</v>
      </c>
      <c r="M307" s="13">
        <f t="shared" si="83"/>
        <v>0</v>
      </c>
      <c r="N307" s="13">
        <f t="shared" si="83"/>
        <v>0</v>
      </c>
      <c r="O307" s="13">
        <f t="shared" si="83"/>
        <v>0</v>
      </c>
      <c r="P307" s="13">
        <f t="shared" si="83"/>
        <v>0</v>
      </c>
      <c r="Q307" s="13">
        <f t="shared" si="83"/>
        <v>0</v>
      </c>
      <c r="R307" s="13">
        <f t="shared" si="83"/>
        <v>0</v>
      </c>
      <c r="S307" s="13">
        <f t="shared" si="83"/>
        <v>0</v>
      </c>
      <c r="T307" s="13">
        <f t="shared" si="83"/>
        <v>0</v>
      </c>
      <c r="U307" s="101"/>
      <c r="V307" s="15">
        <f>SUM(I307:T307)</f>
        <v>0</v>
      </c>
    </row>
    <row r="308" spans="1:22" ht="25.5" hidden="1">
      <c r="A308" s="56" t="s">
        <v>37</v>
      </c>
      <c r="B308" s="23" t="s">
        <v>14</v>
      </c>
      <c r="C308" s="28" t="s">
        <v>77</v>
      </c>
      <c r="D308" s="16">
        <v>9510010520</v>
      </c>
      <c r="E308" s="16">
        <v>870</v>
      </c>
      <c r="F308" s="16">
        <v>290</v>
      </c>
      <c r="G308" s="71" t="s">
        <v>78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00"/>
      <c r="V308" s="15">
        <f>SUM(I308:T308)</f>
        <v>0</v>
      </c>
    </row>
    <row r="309" spans="1:22" ht="12.75">
      <c r="A309" s="66"/>
      <c r="B309" s="92" t="s">
        <v>74</v>
      </c>
      <c r="C309" s="72"/>
      <c r="D309" s="45"/>
      <c r="E309" s="45"/>
      <c r="F309" s="45"/>
      <c r="G309" s="49"/>
      <c r="H309" s="42">
        <f aca="true" t="shared" si="84" ref="H309:T309">H305</f>
        <v>6011700</v>
      </c>
      <c r="I309" s="42">
        <f t="shared" si="84"/>
        <v>254650</v>
      </c>
      <c r="J309" s="42">
        <f t="shared" si="84"/>
        <v>520350</v>
      </c>
      <c r="K309" s="42">
        <f t="shared" si="84"/>
        <v>505950</v>
      </c>
      <c r="L309" s="42">
        <f t="shared" si="84"/>
        <v>527050</v>
      </c>
      <c r="M309" s="42">
        <f t="shared" si="84"/>
        <v>480200</v>
      </c>
      <c r="N309" s="42">
        <f t="shared" si="84"/>
        <v>476550</v>
      </c>
      <c r="O309" s="42">
        <f t="shared" si="84"/>
        <v>631100</v>
      </c>
      <c r="P309" s="42">
        <f t="shared" si="84"/>
        <v>460050</v>
      </c>
      <c r="Q309" s="42">
        <f t="shared" si="84"/>
        <v>450850</v>
      </c>
      <c r="R309" s="42">
        <f t="shared" si="84"/>
        <v>445250</v>
      </c>
      <c r="S309" s="42">
        <f t="shared" si="84"/>
        <v>638150</v>
      </c>
      <c r="T309" s="42">
        <f t="shared" si="84"/>
        <v>621550</v>
      </c>
      <c r="U309" s="104"/>
      <c r="V309" s="50">
        <f>V305</f>
        <v>6011700</v>
      </c>
    </row>
    <row r="310" spans="1:22" ht="12.75">
      <c r="A310" s="60"/>
      <c r="B310" s="43"/>
      <c r="C310" s="61"/>
      <c r="D310" s="10"/>
      <c r="E310" s="10"/>
      <c r="F310" s="10"/>
      <c r="G310" s="14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104"/>
      <c r="V310" s="50"/>
    </row>
    <row r="311" spans="1:22" ht="25.5" hidden="1">
      <c r="A311" s="62" t="s">
        <v>87</v>
      </c>
      <c r="B311" s="90" t="s">
        <v>95</v>
      </c>
      <c r="C311" s="37" t="s">
        <v>77</v>
      </c>
      <c r="D311" s="37">
        <v>8800000000</v>
      </c>
      <c r="E311" s="41"/>
      <c r="F311" s="41"/>
      <c r="G311" s="24"/>
      <c r="H311" s="13">
        <f aca="true" t="shared" si="85" ref="H311:T311">H312</f>
        <v>0</v>
      </c>
      <c r="I311" s="13">
        <f t="shared" si="85"/>
        <v>0</v>
      </c>
      <c r="J311" s="13">
        <f t="shared" si="85"/>
        <v>0</v>
      </c>
      <c r="K311" s="13">
        <f t="shared" si="85"/>
        <v>0</v>
      </c>
      <c r="L311" s="13">
        <f t="shared" si="85"/>
        <v>0</v>
      </c>
      <c r="M311" s="13">
        <f t="shared" si="85"/>
        <v>0</v>
      </c>
      <c r="N311" s="13">
        <f t="shared" si="85"/>
        <v>0</v>
      </c>
      <c r="O311" s="13">
        <f t="shared" si="85"/>
        <v>0</v>
      </c>
      <c r="P311" s="13">
        <f t="shared" si="85"/>
        <v>0</v>
      </c>
      <c r="Q311" s="13">
        <f t="shared" si="85"/>
        <v>0</v>
      </c>
      <c r="R311" s="13">
        <f t="shared" si="85"/>
        <v>0</v>
      </c>
      <c r="S311" s="13">
        <f t="shared" si="85"/>
        <v>0</v>
      </c>
      <c r="T311" s="13">
        <f t="shared" si="85"/>
        <v>0</v>
      </c>
      <c r="U311" s="101"/>
      <c r="V311" s="15">
        <f>SUM(I311:T311)</f>
        <v>0</v>
      </c>
    </row>
    <row r="312" spans="1:22" ht="25.5" hidden="1">
      <c r="A312" s="60" t="s">
        <v>87</v>
      </c>
      <c r="B312" s="48" t="s">
        <v>95</v>
      </c>
      <c r="C312" s="10" t="s">
        <v>77</v>
      </c>
      <c r="D312" s="78" t="s">
        <v>149</v>
      </c>
      <c r="E312" s="10">
        <v>730</v>
      </c>
      <c r="F312" s="10">
        <v>290</v>
      </c>
      <c r="G312" s="14"/>
      <c r="H312" s="14">
        <v>0</v>
      </c>
      <c r="I312" s="73">
        <v>0</v>
      </c>
      <c r="J312" s="73">
        <v>0</v>
      </c>
      <c r="K312" s="73">
        <v>0</v>
      </c>
      <c r="L312" s="73">
        <v>0</v>
      </c>
      <c r="M312" s="73">
        <v>0</v>
      </c>
      <c r="N312" s="73">
        <v>0</v>
      </c>
      <c r="O312" s="73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00"/>
      <c r="V312" s="15">
        <f>SUM(I312:T312)</f>
        <v>0</v>
      </c>
    </row>
    <row r="313" spans="1:22" ht="12.75" hidden="1">
      <c r="A313" s="60"/>
      <c r="B313" s="43"/>
      <c r="C313" s="61"/>
      <c r="D313" s="10"/>
      <c r="E313" s="10"/>
      <c r="F313" s="10"/>
      <c r="G313" s="14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104"/>
      <c r="V313" s="15"/>
    </row>
    <row r="314" spans="1:22" ht="12.75" hidden="1">
      <c r="A314" s="66"/>
      <c r="B314" s="92" t="s">
        <v>96</v>
      </c>
      <c r="C314" s="72"/>
      <c r="D314" s="45"/>
      <c r="E314" s="45"/>
      <c r="F314" s="45"/>
      <c r="G314" s="49"/>
      <c r="H314" s="42">
        <f aca="true" t="shared" si="86" ref="H314:T314">H311</f>
        <v>0</v>
      </c>
      <c r="I314" s="42">
        <f t="shared" si="86"/>
        <v>0</v>
      </c>
      <c r="J314" s="42">
        <f t="shared" si="86"/>
        <v>0</v>
      </c>
      <c r="K314" s="42">
        <f t="shared" si="86"/>
        <v>0</v>
      </c>
      <c r="L314" s="42">
        <f t="shared" si="86"/>
        <v>0</v>
      </c>
      <c r="M314" s="42">
        <f t="shared" si="86"/>
        <v>0</v>
      </c>
      <c r="N314" s="42">
        <f t="shared" si="86"/>
        <v>0</v>
      </c>
      <c r="O314" s="42">
        <f t="shared" si="86"/>
        <v>0</v>
      </c>
      <c r="P314" s="42">
        <f t="shared" si="86"/>
        <v>0</v>
      </c>
      <c r="Q314" s="42">
        <f t="shared" si="86"/>
        <v>0</v>
      </c>
      <c r="R314" s="42">
        <f t="shared" si="86"/>
        <v>0</v>
      </c>
      <c r="S314" s="42">
        <f t="shared" si="86"/>
        <v>0</v>
      </c>
      <c r="T314" s="42">
        <f t="shared" si="86"/>
        <v>0</v>
      </c>
      <c r="U314" s="104"/>
      <c r="V314" s="54">
        <f>V311</f>
        <v>0</v>
      </c>
    </row>
    <row r="315" spans="1:22" ht="12.75">
      <c r="A315" s="56"/>
      <c r="B315" s="25"/>
      <c r="C315" s="25"/>
      <c r="D315" s="10"/>
      <c r="E315" s="10"/>
      <c r="F315" s="10"/>
      <c r="G315" s="14"/>
      <c r="H315" s="30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00"/>
      <c r="V315" s="52"/>
    </row>
    <row r="316" spans="1:22" ht="12.75">
      <c r="A316" s="56"/>
      <c r="B316" s="23"/>
      <c r="C316" s="10"/>
      <c r="D316" s="10"/>
      <c r="E316" s="10"/>
      <c r="F316" s="10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00"/>
      <c r="V316" s="52"/>
    </row>
    <row r="317" spans="1:22" ht="12.75">
      <c r="A317" s="136" t="s">
        <v>86</v>
      </c>
      <c r="B317" s="136"/>
      <c r="C317" s="136"/>
      <c r="D317" s="136"/>
      <c r="E317" s="136"/>
      <c r="F317" s="136"/>
      <c r="G317" s="136"/>
      <c r="H317" s="53">
        <f aca="true" t="shared" si="87" ref="H317:T317">H105+H113+H130+H154+H207+H216+H269+H281+H309+H307+H314</f>
        <v>67024800</v>
      </c>
      <c r="I317" s="53">
        <f t="shared" si="87"/>
        <v>2696318.24</v>
      </c>
      <c r="J317" s="53">
        <f t="shared" si="87"/>
        <v>5323392.78</v>
      </c>
      <c r="K317" s="53">
        <f t="shared" si="87"/>
        <v>4903656.25</v>
      </c>
      <c r="L317" s="53">
        <f t="shared" si="87"/>
        <v>5747652.91</v>
      </c>
      <c r="M317" s="53">
        <f t="shared" si="87"/>
        <v>5349689.63</v>
      </c>
      <c r="N317" s="53">
        <f t="shared" si="87"/>
        <v>5942809.029999999</v>
      </c>
      <c r="O317" s="53">
        <f t="shared" si="87"/>
        <v>5916215.949999999</v>
      </c>
      <c r="P317" s="53">
        <f t="shared" si="87"/>
        <v>5579905.04</v>
      </c>
      <c r="Q317" s="53">
        <f t="shared" si="87"/>
        <v>5510465.68</v>
      </c>
      <c r="R317" s="53">
        <f t="shared" si="87"/>
        <v>6008924.58</v>
      </c>
      <c r="S317" s="53">
        <f t="shared" si="87"/>
        <v>6241919.970000001</v>
      </c>
      <c r="T317" s="53">
        <f t="shared" si="87"/>
        <v>7803849.94</v>
      </c>
      <c r="U317" s="104"/>
      <c r="V317" s="108">
        <f>V105+V113+V130+V154+V207+V216+V269+V281+V309+V307+V314</f>
        <v>67024800</v>
      </c>
    </row>
    <row r="318" spans="1:22" ht="27.75" customHeight="1">
      <c r="A318" s="136" t="s">
        <v>89</v>
      </c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05"/>
      <c r="V318" s="52"/>
    </row>
    <row r="319" spans="1:22" ht="57" customHeight="1">
      <c r="A319" s="65"/>
      <c r="B319" s="56"/>
      <c r="C319" s="138" t="s">
        <v>91</v>
      </c>
      <c r="D319" s="138"/>
      <c r="E319" s="138"/>
      <c r="F319" s="138"/>
      <c r="G319" s="56"/>
      <c r="H319" s="57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105"/>
      <c r="V319" s="15"/>
    </row>
    <row r="320" spans="1:22" ht="12.75">
      <c r="A320" s="56"/>
      <c r="B320" s="74"/>
      <c r="C320" s="139"/>
      <c r="D320" s="139"/>
      <c r="E320" s="139"/>
      <c r="F320" s="139"/>
      <c r="G320" s="74"/>
      <c r="H320" s="53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104"/>
      <c r="V320" s="15"/>
    </row>
    <row r="321" spans="1:22" ht="83.25" customHeight="1">
      <c r="A321" s="56" t="s">
        <v>87</v>
      </c>
      <c r="B321" s="48" t="s">
        <v>190</v>
      </c>
      <c r="C321" s="137" t="s">
        <v>92</v>
      </c>
      <c r="D321" s="137"/>
      <c r="E321" s="137"/>
      <c r="F321" s="137"/>
      <c r="G321" s="74"/>
      <c r="H321" s="13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17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00"/>
      <c r="V321" s="15"/>
    </row>
    <row r="322" spans="1:22" ht="84" customHeight="1">
      <c r="A322" s="56" t="s">
        <v>87</v>
      </c>
      <c r="B322" s="48" t="s">
        <v>191</v>
      </c>
      <c r="C322" s="137" t="s">
        <v>93</v>
      </c>
      <c r="D322" s="137"/>
      <c r="E322" s="137"/>
      <c r="F322" s="137"/>
      <c r="G322" s="74"/>
      <c r="H322" s="13">
        <f>N322</f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17">
        <v>0</v>
      </c>
      <c r="S322" s="14">
        <v>0</v>
      </c>
      <c r="T322" s="14">
        <v>0</v>
      </c>
      <c r="U322" s="100"/>
      <c r="V322" s="15"/>
    </row>
    <row r="323" spans="1:22" ht="12.75">
      <c r="A323" s="56"/>
      <c r="B323" s="74"/>
      <c r="C323" s="139"/>
      <c r="D323" s="139"/>
      <c r="E323" s="139"/>
      <c r="F323" s="139"/>
      <c r="G323" s="7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101"/>
      <c r="V323" s="15"/>
    </row>
    <row r="324" spans="1:22" ht="12.75">
      <c r="A324" s="133" t="s">
        <v>90</v>
      </c>
      <c r="B324" s="133"/>
      <c r="C324" s="133"/>
      <c r="D324" s="133"/>
      <c r="E324" s="133"/>
      <c r="F324" s="133"/>
      <c r="G324" s="74"/>
      <c r="H324" s="53">
        <f aca="true" t="shared" si="88" ref="H324:T324">H321-H322</f>
        <v>0</v>
      </c>
      <c r="I324" s="53">
        <f t="shared" si="88"/>
        <v>0</v>
      </c>
      <c r="J324" s="53">
        <f t="shared" si="88"/>
        <v>0</v>
      </c>
      <c r="K324" s="53">
        <f t="shared" si="88"/>
        <v>0</v>
      </c>
      <c r="L324" s="53">
        <f t="shared" si="88"/>
        <v>0</v>
      </c>
      <c r="M324" s="53">
        <f t="shared" si="88"/>
        <v>0</v>
      </c>
      <c r="N324" s="53">
        <f t="shared" si="88"/>
        <v>0</v>
      </c>
      <c r="O324" s="53">
        <f t="shared" si="88"/>
        <v>0</v>
      </c>
      <c r="P324" s="53">
        <f t="shared" si="88"/>
        <v>0</v>
      </c>
      <c r="Q324" s="53">
        <f t="shared" si="88"/>
        <v>0</v>
      </c>
      <c r="R324" s="53">
        <f t="shared" si="88"/>
        <v>0</v>
      </c>
      <c r="S324" s="53">
        <f t="shared" si="88"/>
        <v>0</v>
      </c>
      <c r="T324" s="53">
        <f t="shared" si="88"/>
        <v>0</v>
      </c>
      <c r="U324" s="104"/>
      <c r="V324" s="15"/>
    </row>
    <row r="325" spans="1:22" ht="12" customHeight="1">
      <c r="A325" s="75"/>
      <c r="B325" s="76"/>
      <c r="C325" s="76"/>
      <c r="D325" s="76"/>
      <c r="E325" s="76"/>
      <c r="F325" s="76"/>
      <c r="G325" s="76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15"/>
    </row>
    <row r="326" spans="1:22" ht="12" customHeight="1">
      <c r="A326" s="4"/>
      <c r="B326" s="6"/>
      <c r="C326" s="6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2"/>
    </row>
    <row r="327" spans="1:22" ht="12" customHeight="1">
      <c r="A327" s="4"/>
      <c r="B327" s="6"/>
      <c r="C327" s="6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2"/>
    </row>
    <row r="328" spans="1:22" ht="12" customHeight="1">
      <c r="A328" s="134" t="s">
        <v>81</v>
      </c>
      <c r="B328" s="134"/>
      <c r="C328" s="134"/>
      <c r="D328" s="134"/>
      <c r="E328" s="134"/>
      <c r="F328" s="134"/>
      <c r="G328" s="134"/>
      <c r="H328" s="9"/>
      <c r="I328" s="9"/>
      <c r="J328" s="9"/>
      <c r="K328" s="9" t="s">
        <v>82</v>
      </c>
      <c r="L328" s="19"/>
      <c r="M328" s="5"/>
      <c r="N328" s="5"/>
      <c r="O328" s="5"/>
      <c r="P328" s="5"/>
      <c r="Q328" s="5"/>
      <c r="R328" s="5"/>
      <c r="S328" s="5"/>
      <c r="T328" s="5"/>
      <c r="U328" s="5"/>
      <c r="V328" s="2"/>
    </row>
    <row r="329" spans="1:22" ht="12" customHeight="1">
      <c r="A329" s="20"/>
      <c r="B329" s="21"/>
      <c r="C329" s="21"/>
      <c r="D329" s="21"/>
      <c r="E329" s="21"/>
      <c r="F329" s="21"/>
      <c r="G329" s="21"/>
      <c r="H329" s="19"/>
      <c r="I329" s="19"/>
      <c r="J329" s="19"/>
      <c r="K329" s="19"/>
      <c r="L329" s="19"/>
      <c r="M329" s="5"/>
      <c r="N329" s="5"/>
      <c r="O329" s="5"/>
      <c r="P329" s="5"/>
      <c r="Q329" s="5"/>
      <c r="R329" s="5"/>
      <c r="S329" s="5"/>
      <c r="T329" s="5"/>
      <c r="U329" s="5"/>
      <c r="V329" s="2"/>
    </row>
    <row r="330" spans="1:22" ht="12" customHeight="1">
      <c r="A330" s="20"/>
      <c r="B330" s="21"/>
      <c r="C330" s="21"/>
      <c r="D330" s="21"/>
      <c r="E330" s="21"/>
      <c r="F330" s="21"/>
      <c r="G330" s="21"/>
      <c r="H330" s="19"/>
      <c r="I330" s="19"/>
      <c r="J330" s="19"/>
      <c r="K330" s="19"/>
      <c r="L330" s="19"/>
      <c r="M330" s="5"/>
      <c r="N330" s="5"/>
      <c r="O330" s="5"/>
      <c r="P330" s="5"/>
      <c r="Q330" s="5"/>
      <c r="R330" s="5"/>
      <c r="S330" s="5"/>
      <c r="T330" s="5"/>
      <c r="U330" s="5"/>
      <c r="V330" s="2"/>
    </row>
    <row r="331" spans="1:12" ht="12.75">
      <c r="A331" s="17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ht="12.75">
      <c r="A332" s="17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ht="12.75">
      <c r="A333" s="134" t="s">
        <v>83</v>
      </c>
      <c r="B333" s="134"/>
      <c r="C333" s="134"/>
      <c r="D333" s="134"/>
      <c r="E333" s="9"/>
      <c r="F333" s="9"/>
      <c r="G333" s="9"/>
      <c r="H333" s="9"/>
      <c r="I333" s="9"/>
      <c r="J333" s="9"/>
      <c r="K333" s="9"/>
      <c r="L333" s="9"/>
    </row>
    <row r="334" spans="1:12" ht="12.75">
      <c r="A334" s="134" t="s">
        <v>84</v>
      </c>
      <c r="B334" s="134"/>
      <c r="C334" s="134"/>
      <c r="D334" s="134"/>
      <c r="E334" s="134"/>
      <c r="F334" s="134"/>
      <c r="G334" s="134"/>
      <c r="H334" s="9"/>
      <c r="I334" s="9"/>
      <c r="J334" s="9"/>
      <c r="K334" s="9" t="s">
        <v>196</v>
      </c>
      <c r="L334" s="9"/>
    </row>
    <row r="335" spans="1:12" ht="12.75">
      <c r="A335" s="17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2.75">
      <c r="A336" s="17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ht="12.75">
      <c r="A337" s="17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>
      <c r="A338" s="17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</sheetData>
  <sheetProtection/>
  <mergeCells count="35">
    <mergeCell ref="A3:T3"/>
    <mergeCell ref="A333:D333"/>
    <mergeCell ref="A334:G334"/>
    <mergeCell ref="A317:G317"/>
    <mergeCell ref="A318:T318"/>
    <mergeCell ref="C319:F319"/>
    <mergeCell ref="C320:F320"/>
    <mergeCell ref="C321:F321"/>
    <mergeCell ref="C322:F322"/>
    <mergeCell ref="C323:F323"/>
    <mergeCell ref="A324:F324"/>
    <mergeCell ref="A328:G328"/>
    <mergeCell ref="R7:R8"/>
    <mergeCell ref="S7:S8"/>
    <mergeCell ref="G247:G248"/>
    <mergeCell ref="G249:G250"/>
    <mergeCell ref="A6:A8"/>
    <mergeCell ref="B6:B8"/>
    <mergeCell ref="T7:T8"/>
    <mergeCell ref="G245:G246"/>
    <mergeCell ref="N7:N8"/>
    <mergeCell ref="O7:O8"/>
    <mergeCell ref="P7:P8"/>
    <mergeCell ref="Q7:Q8"/>
    <mergeCell ref="M7:M8"/>
    <mergeCell ref="A2:T2"/>
    <mergeCell ref="A4:T4"/>
    <mergeCell ref="A5:T5"/>
    <mergeCell ref="H7:H8"/>
    <mergeCell ref="H6:T6"/>
    <mergeCell ref="C6:G7"/>
    <mergeCell ref="I7:I8"/>
    <mergeCell ref="J7:J8"/>
    <mergeCell ref="K7:K8"/>
    <mergeCell ref="L7:L8"/>
  </mergeCells>
  <printOptions/>
  <pageMargins left="0.48" right="0.16" top="0.23" bottom="0.22" header="0.2" footer="0.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M339" sqref="M339"/>
    </sheetView>
  </sheetViews>
  <sheetFormatPr defaultColWidth="9.140625" defaultRowHeight="12.75"/>
  <cols>
    <col min="1" max="1" width="12.28125" style="1" customWidth="1"/>
    <col min="2" max="2" width="30.28125" style="0" customWidth="1"/>
    <col min="4" max="4" width="13.00390625" style="0" customWidth="1"/>
    <col min="5" max="5" width="7.140625" style="0" customWidth="1"/>
    <col min="6" max="6" width="4.7109375" style="0" hidden="1" customWidth="1"/>
    <col min="7" max="7" width="8.28125" style="0" customWidth="1"/>
    <col min="8" max="8" width="14.00390625" style="0" customWidth="1"/>
    <col min="9" max="9" width="12.57421875" style="0" customWidth="1"/>
    <col min="10" max="10" width="11.8515625" style="0" customWidth="1"/>
    <col min="11" max="11" width="11.7109375" style="0" customWidth="1"/>
    <col min="12" max="13" width="12.421875" style="0" customWidth="1"/>
    <col min="14" max="14" width="12.7109375" style="0" customWidth="1"/>
    <col min="15" max="15" width="12.421875" style="0" customWidth="1"/>
    <col min="16" max="16" width="12.7109375" style="0" customWidth="1"/>
    <col min="17" max="17" width="13.140625" style="0" customWidth="1"/>
    <col min="18" max="18" width="13.28125" style="0" customWidth="1"/>
    <col min="19" max="19" width="12.28125" style="0" customWidth="1"/>
    <col min="20" max="20" width="15.28125" style="0" customWidth="1"/>
    <col min="21" max="21" width="3.140625" style="0" customWidth="1"/>
    <col min="22" max="22" width="12.7109375" style="0" customWidth="1"/>
  </cols>
  <sheetData>
    <row r="1" ht="12.75">
      <c r="V1" t="s">
        <v>202</v>
      </c>
    </row>
    <row r="2" spans="1:21" ht="15.75">
      <c r="A2" s="126" t="s">
        <v>100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82"/>
    </row>
    <row r="3" spans="1:21" ht="15.75">
      <c r="A3" s="126" t="s">
        <v>217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82"/>
    </row>
    <row r="4" spans="1:21" ht="15.75">
      <c r="A4" s="127" t="s">
        <v>85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83"/>
    </row>
    <row r="5" spans="1:21" ht="15.75">
      <c r="A5" s="127" t="s">
        <v>202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83"/>
    </row>
    <row r="6" spans="1:22" ht="26.25" customHeight="1">
      <c r="A6" s="135" t="s">
        <v>97</v>
      </c>
      <c r="B6" s="133" t="s">
        <v>0</v>
      </c>
      <c r="C6" s="130" t="s">
        <v>98</v>
      </c>
      <c r="D6" s="130"/>
      <c r="E6" s="130"/>
      <c r="F6" s="130"/>
      <c r="G6" s="130"/>
      <c r="H6" s="129" t="s">
        <v>99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99"/>
      <c r="V6" s="22"/>
    </row>
    <row r="7" spans="1:22" ht="31.5" customHeight="1">
      <c r="A7" s="135"/>
      <c r="B7" s="133"/>
      <c r="C7" s="130"/>
      <c r="D7" s="130"/>
      <c r="E7" s="130"/>
      <c r="F7" s="130"/>
      <c r="G7" s="130"/>
      <c r="H7" s="128" t="s">
        <v>88</v>
      </c>
      <c r="I7" s="131" t="s">
        <v>25</v>
      </c>
      <c r="J7" s="131" t="s">
        <v>26</v>
      </c>
      <c r="K7" s="131" t="s">
        <v>27</v>
      </c>
      <c r="L7" s="131" t="s">
        <v>28</v>
      </c>
      <c r="M7" s="131" t="s">
        <v>29</v>
      </c>
      <c r="N7" s="131" t="s">
        <v>30</v>
      </c>
      <c r="O7" s="131" t="s">
        <v>31</v>
      </c>
      <c r="P7" s="131" t="s">
        <v>32</v>
      </c>
      <c r="Q7" s="131" t="s">
        <v>33</v>
      </c>
      <c r="R7" s="131" t="s">
        <v>34</v>
      </c>
      <c r="S7" s="131" t="s">
        <v>35</v>
      </c>
      <c r="T7" s="131" t="s">
        <v>36</v>
      </c>
      <c r="U7" s="96"/>
      <c r="V7" s="22"/>
    </row>
    <row r="8" spans="1:22" ht="49.5" customHeight="1">
      <c r="A8" s="135"/>
      <c r="B8" s="133"/>
      <c r="C8" s="81" t="s">
        <v>101</v>
      </c>
      <c r="D8" s="81" t="s">
        <v>1</v>
      </c>
      <c r="E8" s="81" t="s">
        <v>2</v>
      </c>
      <c r="F8" s="81" t="s">
        <v>3</v>
      </c>
      <c r="G8" s="81" t="s">
        <v>4</v>
      </c>
      <c r="H8" s="128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96"/>
      <c r="V8" s="22"/>
    </row>
    <row r="9" spans="1:22" ht="40.5" customHeight="1">
      <c r="A9" s="56" t="s">
        <v>87</v>
      </c>
      <c r="B9" s="48" t="s">
        <v>155</v>
      </c>
      <c r="C9" s="23" t="s">
        <v>8</v>
      </c>
      <c r="D9" s="23">
        <v>8010000190</v>
      </c>
      <c r="E9" s="23">
        <v>121</v>
      </c>
      <c r="F9" s="23">
        <v>211</v>
      </c>
      <c r="G9" s="23"/>
      <c r="H9" s="24">
        <v>1046467</v>
      </c>
      <c r="I9" s="14">
        <f>37495.26-13474.16</f>
        <v>24021.100000000002</v>
      </c>
      <c r="J9" s="14">
        <v>84387.69</v>
      </c>
      <c r="K9" s="14">
        <v>82677.75</v>
      </c>
      <c r="L9" s="14">
        <v>82677.75</v>
      </c>
      <c r="M9" s="14">
        <v>82677.75</v>
      </c>
      <c r="N9" s="14">
        <v>82677.75</v>
      </c>
      <c r="O9" s="14">
        <v>82677.75</v>
      </c>
      <c r="P9" s="14">
        <v>82677.75</v>
      </c>
      <c r="Q9" s="14">
        <v>82360.75</v>
      </c>
      <c r="R9" s="14">
        <v>84435.73</v>
      </c>
      <c r="S9" s="14">
        <f>85845.2+13474.16</f>
        <v>99319.36</v>
      </c>
      <c r="T9" s="14">
        <f>175884.87-9</f>
        <v>175875.87</v>
      </c>
      <c r="U9" s="100"/>
      <c r="V9" s="15">
        <f>SUM(I9:T9)</f>
        <v>1046467</v>
      </c>
    </row>
    <row r="10" spans="1:22" ht="89.25">
      <c r="A10" s="56" t="s">
        <v>87</v>
      </c>
      <c r="B10" s="48" t="s">
        <v>156</v>
      </c>
      <c r="C10" s="23" t="s">
        <v>8</v>
      </c>
      <c r="D10" s="23">
        <v>8010000190</v>
      </c>
      <c r="E10" s="23">
        <v>129</v>
      </c>
      <c r="F10" s="23">
        <v>213</v>
      </c>
      <c r="G10" s="23"/>
      <c r="H10" s="24">
        <v>316033</v>
      </c>
      <c r="I10" s="14">
        <v>0</v>
      </c>
      <c r="J10" s="14">
        <v>25059.08</v>
      </c>
      <c r="K10" s="14">
        <v>25059.07</v>
      </c>
      <c r="L10" s="14">
        <v>25059.07</v>
      </c>
      <c r="M10" s="14">
        <v>25059.07</v>
      </c>
      <c r="N10" s="14">
        <v>25059.07</v>
      </c>
      <c r="O10" s="14">
        <v>25059.07</v>
      </c>
      <c r="P10" s="14">
        <v>25059.07</v>
      </c>
      <c r="Q10" s="14">
        <v>25059.07</v>
      </c>
      <c r="R10" s="14">
        <v>25059.07</v>
      </c>
      <c r="S10" s="14">
        <v>26015.63</v>
      </c>
      <c r="T10" s="14">
        <v>64485.73</v>
      </c>
      <c r="U10" s="100"/>
      <c r="V10" s="15">
        <f>SUM(I10:T10)</f>
        <v>316033.00000000006</v>
      </c>
    </row>
    <row r="11" spans="1:22" ht="12.75">
      <c r="A11" s="56"/>
      <c r="B11" s="23"/>
      <c r="C11" s="23"/>
      <c r="D11" s="23"/>
      <c r="E11" s="23"/>
      <c r="F11" s="23"/>
      <c r="G11" s="23"/>
      <c r="H11" s="2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07"/>
      <c r="V11" s="15"/>
    </row>
    <row r="12" spans="1:22" ht="12.75">
      <c r="A12" s="56"/>
      <c r="B12" s="25" t="s">
        <v>45</v>
      </c>
      <c r="C12" s="25" t="s">
        <v>8</v>
      </c>
      <c r="D12" s="26"/>
      <c r="E12" s="26"/>
      <c r="F12" s="26"/>
      <c r="G12" s="25"/>
      <c r="H12" s="30">
        <f aca="true" t="shared" si="0" ref="H12:T12">H9+H10</f>
        <v>1362500</v>
      </c>
      <c r="I12" s="30">
        <f t="shared" si="0"/>
        <v>24021.100000000002</v>
      </c>
      <c r="J12" s="30">
        <f t="shared" si="0"/>
        <v>109446.77</v>
      </c>
      <c r="K12" s="30">
        <f t="shared" si="0"/>
        <v>107736.82</v>
      </c>
      <c r="L12" s="30">
        <f t="shared" si="0"/>
        <v>107736.82</v>
      </c>
      <c r="M12" s="30">
        <f t="shared" si="0"/>
        <v>107736.82</v>
      </c>
      <c r="N12" s="30">
        <f t="shared" si="0"/>
        <v>107736.82</v>
      </c>
      <c r="O12" s="30">
        <f t="shared" si="0"/>
        <v>107736.82</v>
      </c>
      <c r="P12" s="30">
        <f t="shared" si="0"/>
        <v>107736.82</v>
      </c>
      <c r="Q12" s="30">
        <f t="shared" si="0"/>
        <v>107419.82</v>
      </c>
      <c r="R12" s="30">
        <f t="shared" si="0"/>
        <v>109494.79999999999</v>
      </c>
      <c r="S12" s="30">
        <f t="shared" si="0"/>
        <v>125334.99</v>
      </c>
      <c r="T12" s="30">
        <f t="shared" si="0"/>
        <v>240361.6</v>
      </c>
      <c r="U12" s="97"/>
      <c r="V12" s="97">
        <f>I12+J12+K12+L12+M12+N12+O12+P12+Q12+R12+S12+T12</f>
        <v>1362500.0000000002</v>
      </c>
    </row>
    <row r="13" spans="1:22" ht="12.75">
      <c r="A13" s="56"/>
      <c r="B13" s="25"/>
      <c r="C13" s="11"/>
      <c r="D13" s="26"/>
      <c r="E13" s="26"/>
      <c r="F13" s="26"/>
      <c r="G13" s="25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97"/>
      <c r="V13" s="97"/>
    </row>
    <row r="14" spans="1:22" ht="93.75" customHeight="1">
      <c r="A14" s="62" t="s">
        <v>87</v>
      </c>
      <c r="B14" s="27" t="s">
        <v>104</v>
      </c>
      <c r="C14" s="37" t="s">
        <v>9</v>
      </c>
      <c r="D14" s="37">
        <v>5100000000</v>
      </c>
      <c r="E14" s="36"/>
      <c r="F14" s="36"/>
      <c r="G14" s="37"/>
      <c r="H14" s="13">
        <f aca="true" t="shared" si="1" ref="H14:T14">H15+H16+H17+H18+H19+H20+H21+H22+H24+H25+H23+H26+H27+H29+H28</f>
        <v>8225265</v>
      </c>
      <c r="I14" s="13">
        <f t="shared" si="1"/>
        <v>231843.25</v>
      </c>
      <c r="J14" s="13">
        <f t="shared" si="1"/>
        <v>574751.01</v>
      </c>
      <c r="K14" s="13">
        <f t="shared" si="1"/>
        <v>646976.71</v>
      </c>
      <c r="L14" s="13">
        <f t="shared" si="1"/>
        <v>616743.39</v>
      </c>
      <c r="M14" s="13">
        <f t="shared" si="1"/>
        <v>567034.44</v>
      </c>
      <c r="N14" s="13">
        <f t="shared" si="1"/>
        <v>600101.21</v>
      </c>
      <c r="O14" s="13">
        <f t="shared" si="1"/>
        <v>724571.13</v>
      </c>
      <c r="P14" s="13">
        <f t="shared" si="1"/>
        <v>567598.12</v>
      </c>
      <c r="Q14" s="13">
        <f t="shared" si="1"/>
        <v>774296.5700000001</v>
      </c>
      <c r="R14" s="13">
        <f t="shared" si="1"/>
        <v>769610.69</v>
      </c>
      <c r="S14" s="13">
        <f t="shared" si="1"/>
        <v>855255.46</v>
      </c>
      <c r="T14" s="13">
        <f t="shared" si="1"/>
        <v>1296483.02</v>
      </c>
      <c r="U14" s="101"/>
      <c r="V14" s="88">
        <f>V15+V16+V23+V26+V27+V29+V28</f>
        <v>8225265</v>
      </c>
    </row>
    <row r="15" spans="1:22" ht="38.25">
      <c r="A15" s="56" t="s">
        <v>87</v>
      </c>
      <c r="B15" s="48" t="s">
        <v>155</v>
      </c>
      <c r="C15" s="23" t="s">
        <v>9</v>
      </c>
      <c r="D15" s="78" t="s">
        <v>141</v>
      </c>
      <c r="E15" s="23">
        <v>121</v>
      </c>
      <c r="F15" s="23">
        <v>211</v>
      </c>
      <c r="G15" s="23"/>
      <c r="H15" s="24">
        <f>5057530+370015</f>
        <v>5427545</v>
      </c>
      <c r="I15" s="14">
        <f>215261.98-44210.67</f>
        <v>171051.31</v>
      </c>
      <c r="J15" s="14">
        <v>367447.38</v>
      </c>
      <c r="K15" s="14">
        <v>484620.17</v>
      </c>
      <c r="L15" s="14">
        <v>378618.34</v>
      </c>
      <c r="M15" s="14">
        <v>394596.91</v>
      </c>
      <c r="N15" s="14">
        <v>394596.91</v>
      </c>
      <c r="O15" s="14">
        <v>412026</v>
      </c>
      <c r="P15" s="14">
        <f>366080.88+44210.67</f>
        <v>410291.55</v>
      </c>
      <c r="Q15" s="14">
        <f>399894.85+170015</f>
        <v>569909.85</v>
      </c>
      <c r="R15" s="14">
        <f>377800+22721.78+11550.82+25716.95+98437.44</f>
        <v>536226.99</v>
      </c>
      <c r="S15" s="14">
        <f>391735.97+200000</f>
        <v>591735.97</v>
      </c>
      <c r="T15" s="14">
        <v>716423.62</v>
      </c>
      <c r="U15" s="100"/>
      <c r="V15" s="15">
        <f aca="true" t="shared" si="2" ref="V15:V30">SUM(I15:T15)</f>
        <v>5427545</v>
      </c>
    </row>
    <row r="16" spans="1:22" ht="89.25">
      <c r="A16" s="56" t="s">
        <v>87</v>
      </c>
      <c r="B16" s="48" t="s">
        <v>156</v>
      </c>
      <c r="C16" s="23" t="s">
        <v>9</v>
      </c>
      <c r="D16" s="78" t="s">
        <v>141</v>
      </c>
      <c r="E16" s="23">
        <v>129</v>
      </c>
      <c r="F16" s="23">
        <v>213</v>
      </c>
      <c r="G16" s="23"/>
      <c r="H16" s="24">
        <f>1527370+111750</f>
        <v>1639120</v>
      </c>
      <c r="I16" s="14">
        <v>0</v>
      </c>
      <c r="J16" s="14">
        <v>117942.63</v>
      </c>
      <c r="K16" s="14">
        <v>100499.54</v>
      </c>
      <c r="L16" s="14">
        <v>138908.05</v>
      </c>
      <c r="M16" s="14">
        <v>126393.53</v>
      </c>
      <c r="N16" s="14">
        <v>127635.3</v>
      </c>
      <c r="O16" s="14">
        <f>109894.13+111750</f>
        <v>221644.13</v>
      </c>
      <c r="P16" s="14">
        <v>116145.57</v>
      </c>
      <c r="Q16" s="14">
        <v>115389.66</v>
      </c>
      <c r="R16" s="14">
        <v>113948.7</v>
      </c>
      <c r="S16" s="14">
        <v>187572.49</v>
      </c>
      <c r="T16" s="14">
        <v>273040.4</v>
      </c>
      <c r="U16" s="100"/>
      <c r="V16" s="15">
        <f t="shared" si="2"/>
        <v>1639120</v>
      </c>
    </row>
    <row r="17" spans="1:22" ht="12.75" hidden="1">
      <c r="A17" s="56" t="s">
        <v>87</v>
      </c>
      <c r="B17" s="23" t="s">
        <v>10</v>
      </c>
      <c r="C17" s="28" t="s">
        <v>9</v>
      </c>
      <c r="D17" s="28">
        <v>5110100190</v>
      </c>
      <c r="E17" s="28">
        <v>244</v>
      </c>
      <c r="F17" s="28">
        <v>221</v>
      </c>
      <c r="G17" s="23"/>
      <c r="H17" s="2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00"/>
      <c r="V17" s="15">
        <f t="shared" si="2"/>
        <v>0</v>
      </c>
    </row>
    <row r="18" spans="1:22" ht="12.75" hidden="1">
      <c r="A18" s="56" t="s">
        <v>87</v>
      </c>
      <c r="B18" s="23" t="s">
        <v>11</v>
      </c>
      <c r="C18" s="28" t="s">
        <v>9</v>
      </c>
      <c r="D18" s="28">
        <v>5110100190</v>
      </c>
      <c r="E18" s="28">
        <v>244</v>
      </c>
      <c r="F18" s="28">
        <v>223</v>
      </c>
      <c r="G18" s="23" t="s">
        <v>38</v>
      </c>
      <c r="H18" s="2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00"/>
      <c r="V18" s="15">
        <f t="shared" si="2"/>
        <v>0</v>
      </c>
    </row>
    <row r="19" spans="1:22" ht="12.75" hidden="1">
      <c r="A19" s="56" t="s">
        <v>87</v>
      </c>
      <c r="B19" s="23" t="s">
        <v>11</v>
      </c>
      <c r="C19" s="28" t="s">
        <v>9</v>
      </c>
      <c r="D19" s="28">
        <v>5110100190</v>
      </c>
      <c r="E19" s="28">
        <v>244</v>
      </c>
      <c r="F19" s="28">
        <v>223</v>
      </c>
      <c r="G19" s="59" t="s">
        <v>39</v>
      </c>
      <c r="H19" s="2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00"/>
      <c r="V19" s="15">
        <f t="shared" si="2"/>
        <v>0</v>
      </c>
    </row>
    <row r="20" spans="1:22" ht="12.75" hidden="1">
      <c r="A20" s="56" t="s">
        <v>87</v>
      </c>
      <c r="B20" s="23" t="s">
        <v>11</v>
      </c>
      <c r="C20" s="28" t="s">
        <v>9</v>
      </c>
      <c r="D20" s="28">
        <v>5110100190</v>
      </c>
      <c r="E20" s="28">
        <v>244</v>
      </c>
      <c r="F20" s="28">
        <v>223</v>
      </c>
      <c r="G20" s="23" t="s">
        <v>40</v>
      </c>
      <c r="H20" s="2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00"/>
      <c r="V20" s="15">
        <f t="shared" si="2"/>
        <v>0</v>
      </c>
    </row>
    <row r="21" spans="1:22" ht="12.75" hidden="1">
      <c r="A21" s="56" t="s">
        <v>87</v>
      </c>
      <c r="B21" s="23" t="s">
        <v>12</v>
      </c>
      <c r="C21" s="28" t="s">
        <v>9</v>
      </c>
      <c r="D21" s="28">
        <v>5110100190</v>
      </c>
      <c r="E21" s="28">
        <v>244</v>
      </c>
      <c r="F21" s="28">
        <v>225</v>
      </c>
      <c r="G21" s="23"/>
      <c r="H21" s="2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00"/>
      <c r="V21" s="15">
        <f t="shared" si="2"/>
        <v>0</v>
      </c>
    </row>
    <row r="22" spans="1:22" ht="12.75" hidden="1">
      <c r="A22" s="56" t="s">
        <v>87</v>
      </c>
      <c r="B22" s="23" t="s">
        <v>14</v>
      </c>
      <c r="C22" s="28" t="s">
        <v>9</v>
      </c>
      <c r="D22" s="28">
        <v>5110100190</v>
      </c>
      <c r="E22" s="28">
        <v>851</v>
      </c>
      <c r="F22" s="28">
        <v>290</v>
      </c>
      <c r="G22" s="23" t="s">
        <v>50</v>
      </c>
      <c r="H22" s="2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00"/>
      <c r="V22" s="15">
        <f t="shared" si="2"/>
        <v>0</v>
      </c>
    </row>
    <row r="23" spans="1:22" ht="25.5">
      <c r="A23" s="56" t="s">
        <v>87</v>
      </c>
      <c r="B23" s="48" t="s">
        <v>157</v>
      </c>
      <c r="C23" s="23" t="s">
        <v>9</v>
      </c>
      <c r="D23" s="78" t="s">
        <v>141</v>
      </c>
      <c r="E23" s="23">
        <v>244</v>
      </c>
      <c r="F23" s="23">
        <v>226</v>
      </c>
      <c r="G23" s="23"/>
      <c r="H23" s="24">
        <f>793800+72800</f>
        <v>866600</v>
      </c>
      <c r="I23" s="14">
        <v>29305.94</v>
      </c>
      <c r="J23" s="14">
        <v>41892</v>
      </c>
      <c r="K23" s="14">
        <v>34437</v>
      </c>
      <c r="L23" s="14">
        <v>75437</v>
      </c>
      <c r="M23" s="14">
        <v>34437</v>
      </c>
      <c r="N23" s="14">
        <v>54089</v>
      </c>
      <c r="O23" s="14">
        <v>67121</v>
      </c>
      <c r="P23" s="14">
        <v>34437</v>
      </c>
      <c r="Q23" s="14">
        <f>34437+43494.06</f>
        <v>77931.06</v>
      </c>
      <c r="R23" s="14">
        <v>78599</v>
      </c>
      <c r="S23" s="14">
        <v>67280</v>
      </c>
      <c r="T23" s="14">
        <v>271634</v>
      </c>
      <c r="U23" s="100"/>
      <c r="V23" s="15">
        <f t="shared" si="2"/>
        <v>866600</v>
      </c>
    </row>
    <row r="24" spans="1:22" ht="12.75" hidden="1">
      <c r="A24" s="56" t="s">
        <v>87</v>
      </c>
      <c r="B24" s="23" t="s">
        <v>15</v>
      </c>
      <c r="C24" s="28" t="s">
        <v>9</v>
      </c>
      <c r="D24" s="78" t="s">
        <v>141</v>
      </c>
      <c r="E24" s="28">
        <v>244</v>
      </c>
      <c r="F24" s="28">
        <v>340</v>
      </c>
      <c r="G24" s="23"/>
      <c r="H24" s="2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00"/>
      <c r="V24" s="15">
        <f t="shared" si="2"/>
        <v>0</v>
      </c>
    </row>
    <row r="25" spans="1:22" ht="12.75" hidden="1">
      <c r="A25" s="56" t="s">
        <v>87</v>
      </c>
      <c r="B25" s="23" t="s">
        <v>15</v>
      </c>
      <c r="C25" s="28" t="s">
        <v>9</v>
      </c>
      <c r="D25" s="28">
        <v>5110100190</v>
      </c>
      <c r="E25" s="28">
        <v>244</v>
      </c>
      <c r="F25" s="28">
        <v>340</v>
      </c>
      <c r="G25" s="23" t="s">
        <v>41</v>
      </c>
      <c r="H25" s="2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00"/>
      <c r="V25" s="15">
        <f t="shared" si="2"/>
        <v>0</v>
      </c>
    </row>
    <row r="26" spans="1:22" ht="43.5" customHeight="1">
      <c r="A26" s="56" t="s">
        <v>87</v>
      </c>
      <c r="B26" s="48" t="s">
        <v>158</v>
      </c>
      <c r="C26" s="23" t="s">
        <v>9</v>
      </c>
      <c r="D26" s="78" t="s">
        <v>141</v>
      </c>
      <c r="E26" s="23">
        <v>244</v>
      </c>
      <c r="F26" s="23">
        <v>340</v>
      </c>
      <c r="G26" s="48" t="s">
        <v>79</v>
      </c>
      <c r="H26" s="24">
        <f>241500+5400</f>
        <v>246900</v>
      </c>
      <c r="I26" s="14">
        <f>15018.61+0.39</f>
        <v>15019</v>
      </c>
      <c r="J26" s="14">
        <v>23780</v>
      </c>
      <c r="K26" s="14">
        <f>23780+3640</f>
        <v>27420</v>
      </c>
      <c r="L26" s="14">
        <v>23780</v>
      </c>
      <c r="M26" s="14">
        <f>23780-12173</f>
        <v>11607</v>
      </c>
      <c r="N26" s="14">
        <v>23780</v>
      </c>
      <c r="O26" s="14">
        <v>23780</v>
      </c>
      <c r="P26" s="14">
        <f>23780-17056.8+0.8</f>
        <v>6724.000000000001</v>
      </c>
      <c r="Q26" s="14">
        <f>23780-12713.95-0.05</f>
        <v>11066</v>
      </c>
      <c r="R26" s="14">
        <f>23780+17056.8-0.8</f>
        <v>40836</v>
      </c>
      <c r="S26" s="14">
        <f>23780+12173+12713.95-40000+0.05</f>
        <v>8666.999999999996</v>
      </c>
      <c r="T26" s="14">
        <f>30441.39-0.39</f>
        <v>30441</v>
      </c>
      <c r="U26" s="100"/>
      <c r="V26" s="15">
        <f t="shared" si="2"/>
        <v>246900</v>
      </c>
    </row>
    <row r="27" spans="1:22" ht="30" customHeight="1">
      <c r="A27" s="56" t="s">
        <v>87</v>
      </c>
      <c r="B27" s="48" t="s">
        <v>159</v>
      </c>
      <c r="C27" s="23" t="s">
        <v>9</v>
      </c>
      <c r="D27" s="78" t="s">
        <v>141</v>
      </c>
      <c r="E27" s="23">
        <v>851</v>
      </c>
      <c r="F27" s="23">
        <v>290</v>
      </c>
      <c r="G27" s="48" t="s">
        <v>50</v>
      </c>
      <c r="H27" s="24">
        <v>1000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1000</v>
      </c>
      <c r="U27" s="100"/>
      <c r="V27" s="15">
        <f t="shared" si="2"/>
        <v>1000</v>
      </c>
    </row>
    <row r="28" spans="1:22" ht="18" customHeight="1">
      <c r="A28" s="56" t="s">
        <v>87</v>
      </c>
      <c r="B28" s="48" t="s">
        <v>197</v>
      </c>
      <c r="C28" s="23" t="s">
        <v>9</v>
      </c>
      <c r="D28" s="78" t="s">
        <v>141</v>
      </c>
      <c r="E28" s="23">
        <v>852</v>
      </c>
      <c r="F28" s="23">
        <v>290</v>
      </c>
      <c r="G28" s="48" t="s">
        <v>50</v>
      </c>
      <c r="H28" s="24">
        <v>24400</v>
      </c>
      <c r="I28" s="14">
        <v>711</v>
      </c>
      <c r="J28" s="14">
        <f>24400-711</f>
        <v>23689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00"/>
      <c r="V28" s="15">
        <f t="shared" si="2"/>
        <v>24400</v>
      </c>
    </row>
    <row r="29" spans="1:22" ht="23.25" customHeight="1">
      <c r="A29" s="56" t="s">
        <v>87</v>
      </c>
      <c r="B29" s="48" t="s">
        <v>160</v>
      </c>
      <c r="C29" s="23" t="s">
        <v>9</v>
      </c>
      <c r="D29" s="78" t="s">
        <v>141</v>
      </c>
      <c r="E29" s="23">
        <v>853</v>
      </c>
      <c r="F29" s="23">
        <v>290</v>
      </c>
      <c r="G29" s="48" t="s">
        <v>50</v>
      </c>
      <c r="H29" s="24">
        <v>19700</v>
      </c>
      <c r="I29" s="14">
        <v>15756</v>
      </c>
      <c r="J29" s="14">
        <v>0</v>
      </c>
      <c r="K29" s="14">
        <v>0</v>
      </c>
      <c r="L29" s="29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f>4700-756</f>
        <v>3944</v>
      </c>
      <c r="U29" s="100"/>
      <c r="V29" s="15">
        <f t="shared" si="2"/>
        <v>19700</v>
      </c>
    </row>
    <row r="30" spans="1:22" ht="54.75" customHeight="1">
      <c r="A30" s="62" t="s">
        <v>87</v>
      </c>
      <c r="B30" s="90" t="s">
        <v>161</v>
      </c>
      <c r="C30" s="37" t="s">
        <v>9</v>
      </c>
      <c r="D30" s="84" t="s">
        <v>150</v>
      </c>
      <c r="E30" s="37">
        <v>244</v>
      </c>
      <c r="F30" s="37">
        <v>340</v>
      </c>
      <c r="G30" s="37"/>
      <c r="H30" s="13">
        <v>7600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7600</v>
      </c>
      <c r="R30" s="13">
        <v>0</v>
      </c>
      <c r="S30" s="13">
        <v>0</v>
      </c>
      <c r="T30" s="13">
        <v>0</v>
      </c>
      <c r="U30" s="101"/>
      <c r="V30" s="87">
        <f t="shared" si="2"/>
        <v>7600</v>
      </c>
    </row>
    <row r="31" spans="1:22" ht="12.75" hidden="1">
      <c r="A31" s="56"/>
      <c r="B31" s="11"/>
      <c r="C31" s="23"/>
      <c r="D31" s="78"/>
      <c r="E31" s="23"/>
      <c r="F31" s="23"/>
      <c r="G31" s="2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07"/>
      <c r="V31" s="77"/>
    </row>
    <row r="32" spans="1:22" s="114" customFormat="1" ht="12.75" hidden="1">
      <c r="A32" s="62" t="s">
        <v>87</v>
      </c>
      <c r="B32" s="122" t="s">
        <v>206</v>
      </c>
      <c r="C32" s="36" t="s">
        <v>9</v>
      </c>
      <c r="D32" s="118" t="s">
        <v>199</v>
      </c>
      <c r="E32" s="36">
        <v>853</v>
      </c>
      <c r="F32" s="36">
        <v>290</v>
      </c>
      <c r="G32" s="36"/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20"/>
      <c r="V32" s="121">
        <f>SUM(I32:T32)</f>
        <v>0</v>
      </c>
    </row>
    <row r="33" spans="1:22" ht="12.75">
      <c r="A33" s="56"/>
      <c r="B33" s="11"/>
      <c r="C33" s="23"/>
      <c r="D33" s="78"/>
      <c r="E33" s="23"/>
      <c r="F33" s="23"/>
      <c r="G33" s="2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07"/>
      <c r="V33" s="106"/>
    </row>
    <row r="34" spans="1:22" ht="12.75">
      <c r="A34" s="56"/>
      <c r="B34" s="25" t="s">
        <v>45</v>
      </c>
      <c r="C34" s="25" t="s">
        <v>9</v>
      </c>
      <c r="D34" s="23"/>
      <c r="E34" s="23"/>
      <c r="F34" s="23"/>
      <c r="G34" s="23"/>
      <c r="H34" s="30">
        <f aca="true" t="shared" si="3" ref="H34:T34">H14+H30+H32</f>
        <v>8232865</v>
      </c>
      <c r="I34" s="30">
        <f t="shared" si="3"/>
        <v>231843.25</v>
      </c>
      <c r="J34" s="30">
        <f t="shared" si="3"/>
        <v>574751.01</v>
      </c>
      <c r="K34" s="30">
        <f t="shared" si="3"/>
        <v>646976.71</v>
      </c>
      <c r="L34" s="30">
        <f t="shared" si="3"/>
        <v>616743.39</v>
      </c>
      <c r="M34" s="30">
        <f t="shared" si="3"/>
        <v>567034.44</v>
      </c>
      <c r="N34" s="30">
        <f t="shared" si="3"/>
        <v>600101.21</v>
      </c>
      <c r="O34" s="30">
        <f t="shared" si="3"/>
        <v>724571.13</v>
      </c>
      <c r="P34" s="30">
        <f t="shared" si="3"/>
        <v>567598.12</v>
      </c>
      <c r="Q34" s="30">
        <f t="shared" si="3"/>
        <v>781896.5700000001</v>
      </c>
      <c r="R34" s="30">
        <f t="shared" si="3"/>
        <v>769610.69</v>
      </c>
      <c r="S34" s="30">
        <f t="shared" si="3"/>
        <v>855255.46</v>
      </c>
      <c r="T34" s="30">
        <f t="shared" si="3"/>
        <v>1296483.02</v>
      </c>
      <c r="U34" s="97"/>
      <c r="V34" s="97">
        <f>V14+V30+V32</f>
        <v>8232865</v>
      </c>
    </row>
    <row r="35" spans="1:22" ht="12.75">
      <c r="A35" s="56"/>
      <c r="B35" s="25"/>
      <c r="C35" s="26"/>
      <c r="D35" s="28"/>
      <c r="E35" s="28"/>
      <c r="F35" s="28"/>
      <c r="G35" s="2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102"/>
      <c r="V35" s="15"/>
    </row>
    <row r="36" spans="1:23" s="7" customFormat="1" ht="76.5">
      <c r="A36" s="62" t="s">
        <v>87</v>
      </c>
      <c r="B36" s="90" t="s">
        <v>162</v>
      </c>
      <c r="C36" s="37" t="s">
        <v>46</v>
      </c>
      <c r="D36" s="84" t="s">
        <v>151</v>
      </c>
      <c r="E36" s="37">
        <v>540</v>
      </c>
      <c r="F36" s="37">
        <v>251</v>
      </c>
      <c r="G36" s="11" t="s">
        <v>47</v>
      </c>
      <c r="H36" s="13">
        <v>183700</v>
      </c>
      <c r="I36" s="13">
        <f>78750+13250</f>
        <v>92000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f>104950-13250</f>
        <v>91700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01"/>
      <c r="V36" s="77">
        <f>SUM(I36:T36)</f>
        <v>183700</v>
      </c>
      <c r="W36" s="85"/>
    </row>
    <row r="37" spans="1:23" s="7" customFormat="1" ht="76.5">
      <c r="A37" s="62" t="s">
        <v>87</v>
      </c>
      <c r="B37" s="90" t="s">
        <v>163</v>
      </c>
      <c r="C37" s="37" t="s">
        <v>46</v>
      </c>
      <c r="D37" s="84" t="s">
        <v>152</v>
      </c>
      <c r="E37" s="37">
        <v>540</v>
      </c>
      <c r="F37" s="37">
        <v>251</v>
      </c>
      <c r="G37" s="11" t="s">
        <v>47</v>
      </c>
      <c r="H37" s="13">
        <v>170900</v>
      </c>
      <c r="I37" s="13">
        <v>0</v>
      </c>
      <c r="J37" s="112">
        <v>71575</v>
      </c>
      <c r="K37" s="13">
        <v>0</v>
      </c>
      <c r="L37" s="13">
        <v>13075</v>
      </c>
      <c r="M37" s="13">
        <v>0</v>
      </c>
      <c r="N37" s="13">
        <v>0</v>
      </c>
      <c r="O37" s="13">
        <v>82875</v>
      </c>
      <c r="P37" s="13">
        <v>0</v>
      </c>
      <c r="Q37" s="13">
        <v>0</v>
      </c>
      <c r="R37" s="13">
        <v>3375</v>
      </c>
      <c r="S37" s="13">
        <v>0</v>
      </c>
      <c r="T37" s="13">
        <v>0</v>
      </c>
      <c r="U37" s="101"/>
      <c r="V37" s="77">
        <f>SUM(I37:T37)</f>
        <v>170900</v>
      </c>
      <c r="W37" s="85"/>
    </row>
    <row r="38" spans="1:23" s="7" customFormat="1" ht="12.75">
      <c r="A38" s="65"/>
      <c r="B38" s="89"/>
      <c r="C38" s="11"/>
      <c r="D38" s="79"/>
      <c r="E38" s="11"/>
      <c r="F38" s="11"/>
      <c r="G38" s="11"/>
      <c r="H38" s="34"/>
      <c r="I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101"/>
      <c r="V38" s="77"/>
      <c r="W38" s="85"/>
    </row>
    <row r="39" spans="1:23" ht="12.75">
      <c r="A39" s="56"/>
      <c r="B39" s="25" t="s">
        <v>45</v>
      </c>
      <c r="C39" s="25" t="s">
        <v>46</v>
      </c>
      <c r="D39" s="23"/>
      <c r="E39" s="23"/>
      <c r="F39" s="23"/>
      <c r="G39" s="23"/>
      <c r="H39" s="30">
        <f aca="true" t="shared" si="4" ref="H39:T39">H37+H36</f>
        <v>354600</v>
      </c>
      <c r="I39" s="30">
        <f t="shared" si="4"/>
        <v>92000</v>
      </c>
      <c r="J39" s="30">
        <f t="shared" si="4"/>
        <v>71575</v>
      </c>
      <c r="K39" s="30">
        <f t="shared" si="4"/>
        <v>0</v>
      </c>
      <c r="L39" s="30">
        <f t="shared" si="4"/>
        <v>13075</v>
      </c>
      <c r="M39" s="30">
        <f t="shared" si="4"/>
        <v>0</v>
      </c>
      <c r="N39" s="30">
        <f t="shared" si="4"/>
        <v>0</v>
      </c>
      <c r="O39" s="30">
        <f t="shared" si="4"/>
        <v>174575</v>
      </c>
      <c r="P39" s="30">
        <f t="shared" si="4"/>
        <v>0</v>
      </c>
      <c r="Q39" s="30">
        <f t="shared" si="4"/>
        <v>0</v>
      </c>
      <c r="R39" s="30">
        <f t="shared" si="4"/>
        <v>3375</v>
      </c>
      <c r="S39" s="30">
        <f t="shared" si="4"/>
        <v>0</v>
      </c>
      <c r="T39" s="30">
        <f t="shared" si="4"/>
        <v>0</v>
      </c>
      <c r="U39" s="102"/>
      <c r="V39" s="86">
        <f>SUM(I39:T39)</f>
        <v>354600</v>
      </c>
      <c r="W39" s="3"/>
    </row>
    <row r="40" spans="1:23" ht="12.75">
      <c r="A40" s="56"/>
      <c r="B40" s="25"/>
      <c r="C40" s="25"/>
      <c r="D40" s="23"/>
      <c r="E40" s="23"/>
      <c r="F40" s="23"/>
      <c r="G40" s="2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102"/>
      <c r="V40" s="32"/>
      <c r="W40" s="3"/>
    </row>
    <row r="41" spans="1:23" s="7" customFormat="1" ht="25.5">
      <c r="A41" s="62" t="s">
        <v>87</v>
      </c>
      <c r="B41" s="90" t="s">
        <v>164</v>
      </c>
      <c r="C41" s="37" t="s">
        <v>48</v>
      </c>
      <c r="D41" s="84" t="s">
        <v>153</v>
      </c>
      <c r="E41" s="37">
        <v>870</v>
      </c>
      <c r="F41" s="37">
        <v>290</v>
      </c>
      <c r="G41" s="11"/>
      <c r="H41" s="13">
        <v>20000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20000</v>
      </c>
      <c r="U41" s="101"/>
      <c r="V41" s="77">
        <f>SUM(I41:T41)</f>
        <v>20000</v>
      </c>
      <c r="W41" s="85"/>
    </row>
    <row r="42" spans="1:22" s="7" customFormat="1" ht="12.75">
      <c r="A42" s="65"/>
      <c r="B42" s="11"/>
      <c r="C42" s="11"/>
      <c r="D42" s="80"/>
      <c r="E42" s="11"/>
      <c r="F42" s="11"/>
      <c r="G42" s="1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101"/>
      <c r="V42" s="77"/>
    </row>
    <row r="43" spans="1:22" ht="12.75">
      <c r="A43" s="56"/>
      <c r="B43" s="25" t="s">
        <v>45</v>
      </c>
      <c r="C43" s="25" t="s">
        <v>17</v>
      </c>
      <c r="D43" s="11"/>
      <c r="E43" s="11"/>
      <c r="F43" s="11"/>
      <c r="G43" s="25"/>
      <c r="H43" s="30">
        <f aca="true" t="shared" si="5" ref="H43:T43">H41</f>
        <v>20000</v>
      </c>
      <c r="I43" s="30">
        <f t="shared" si="5"/>
        <v>0</v>
      </c>
      <c r="J43" s="30">
        <f t="shared" si="5"/>
        <v>0</v>
      </c>
      <c r="K43" s="30">
        <f t="shared" si="5"/>
        <v>0</v>
      </c>
      <c r="L43" s="30">
        <f t="shared" si="5"/>
        <v>0</v>
      </c>
      <c r="M43" s="30">
        <f t="shared" si="5"/>
        <v>0</v>
      </c>
      <c r="N43" s="30">
        <f t="shared" si="5"/>
        <v>0</v>
      </c>
      <c r="O43" s="30">
        <f t="shared" si="5"/>
        <v>0</v>
      </c>
      <c r="P43" s="30">
        <f t="shared" si="5"/>
        <v>0</v>
      </c>
      <c r="Q43" s="30">
        <f t="shared" si="5"/>
        <v>0</v>
      </c>
      <c r="R43" s="30">
        <f t="shared" si="5"/>
        <v>0</v>
      </c>
      <c r="S43" s="30">
        <f t="shared" si="5"/>
        <v>0</v>
      </c>
      <c r="T43" s="30">
        <f t="shared" si="5"/>
        <v>20000</v>
      </c>
      <c r="U43" s="102"/>
      <c r="V43" s="47">
        <f>SUM(I43:T43)</f>
        <v>20000</v>
      </c>
    </row>
    <row r="44" spans="1:22" s="3" customFormat="1" ht="12.75">
      <c r="A44" s="60"/>
      <c r="B44" s="61"/>
      <c r="C44" s="31"/>
      <c r="D44" s="31"/>
      <c r="E44" s="31"/>
      <c r="F44" s="31"/>
      <c r="G44" s="6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102"/>
      <c r="V44" s="32"/>
    </row>
    <row r="45" spans="1:22" ht="12.75">
      <c r="A45" s="56"/>
      <c r="B45" s="25"/>
      <c r="C45" s="11"/>
      <c r="D45" s="11"/>
      <c r="E45" s="11"/>
      <c r="F45" s="11"/>
      <c r="G45" s="25"/>
      <c r="H45" s="33"/>
      <c r="I45" s="30"/>
      <c r="J45" s="30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101"/>
      <c r="V45" s="15"/>
    </row>
    <row r="46" spans="1:22" ht="76.5">
      <c r="A46" s="62" t="s">
        <v>87</v>
      </c>
      <c r="B46" s="90" t="s">
        <v>105</v>
      </c>
      <c r="C46" s="37" t="s">
        <v>6</v>
      </c>
      <c r="D46" s="84" t="s">
        <v>140</v>
      </c>
      <c r="E46" s="36"/>
      <c r="F46" s="36"/>
      <c r="G46" s="41"/>
      <c r="H46" s="13">
        <f aca="true" t="shared" si="6" ref="H46:T46">H48+H54+H66</f>
        <v>14358554</v>
      </c>
      <c r="I46" s="13">
        <f t="shared" si="6"/>
        <v>664714.3</v>
      </c>
      <c r="J46" s="13">
        <f t="shared" si="6"/>
        <v>1046082</v>
      </c>
      <c r="K46" s="13">
        <f t="shared" si="6"/>
        <v>1029688.4299999999</v>
      </c>
      <c r="L46" s="13">
        <f t="shared" si="6"/>
        <v>1288204.7</v>
      </c>
      <c r="M46" s="13">
        <f t="shared" si="6"/>
        <v>1098486.37</v>
      </c>
      <c r="N46" s="13">
        <f t="shared" si="6"/>
        <v>1204021</v>
      </c>
      <c r="O46" s="13">
        <f t="shared" si="6"/>
        <v>1113333</v>
      </c>
      <c r="P46" s="13">
        <f t="shared" si="6"/>
        <v>1196680.77</v>
      </c>
      <c r="Q46" s="13">
        <f t="shared" si="6"/>
        <v>1219889.35</v>
      </c>
      <c r="R46" s="13">
        <f t="shared" si="6"/>
        <v>1344284.92</v>
      </c>
      <c r="S46" s="13">
        <f t="shared" si="6"/>
        <v>1311845.9500000002</v>
      </c>
      <c r="T46" s="13">
        <f t="shared" si="6"/>
        <v>1841323.2100000002</v>
      </c>
      <c r="U46" s="101"/>
      <c r="V46" s="87">
        <f>V48+V54+V66</f>
        <v>14358554</v>
      </c>
    </row>
    <row r="47" spans="1:22" ht="12.75">
      <c r="A47" s="60"/>
      <c r="B47" s="67"/>
      <c r="C47" s="12"/>
      <c r="D47" s="12"/>
      <c r="E47" s="12"/>
      <c r="F47" s="12"/>
      <c r="G47" s="1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00"/>
      <c r="V47" s="15"/>
    </row>
    <row r="48" spans="1:22" s="7" customFormat="1" ht="25.5">
      <c r="A48" s="62" t="s">
        <v>87</v>
      </c>
      <c r="B48" s="90" t="s">
        <v>49</v>
      </c>
      <c r="C48" s="37" t="s">
        <v>6</v>
      </c>
      <c r="D48" s="37">
        <v>5210000000</v>
      </c>
      <c r="E48" s="36"/>
      <c r="F48" s="36"/>
      <c r="G48" s="37"/>
      <c r="H48" s="13">
        <f aca="true" t="shared" si="7" ref="H48:T48">H49+H50+H51+H52</f>
        <v>4298554</v>
      </c>
      <c r="I48" s="13">
        <f t="shared" si="7"/>
        <v>330702.5</v>
      </c>
      <c r="J48" s="13">
        <f t="shared" si="7"/>
        <v>301267</v>
      </c>
      <c r="K48" s="13">
        <f t="shared" si="7"/>
        <v>324402</v>
      </c>
      <c r="L48" s="13">
        <f t="shared" si="7"/>
        <v>446944</v>
      </c>
      <c r="M48" s="13">
        <f t="shared" si="7"/>
        <v>315341</v>
      </c>
      <c r="N48" s="13">
        <f t="shared" si="7"/>
        <v>324081</v>
      </c>
      <c r="O48" s="13">
        <f t="shared" si="7"/>
        <v>312423</v>
      </c>
      <c r="P48" s="13">
        <f t="shared" si="7"/>
        <v>358840</v>
      </c>
      <c r="Q48" s="13">
        <f t="shared" si="7"/>
        <v>440831</v>
      </c>
      <c r="R48" s="13">
        <f t="shared" si="7"/>
        <v>448204</v>
      </c>
      <c r="S48" s="13">
        <f t="shared" si="7"/>
        <v>299822</v>
      </c>
      <c r="T48" s="13">
        <f t="shared" si="7"/>
        <v>395696.5</v>
      </c>
      <c r="U48" s="101"/>
      <c r="V48" s="87">
        <f>V49+V50+V51+V52</f>
        <v>4298554</v>
      </c>
    </row>
    <row r="49" spans="1:22" ht="25.5">
      <c r="A49" s="56" t="s">
        <v>87</v>
      </c>
      <c r="B49" s="109" t="s">
        <v>165</v>
      </c>
      <c r="C49" s="23" t="s">
        <v>6</v>
      </c>
      <c r="D49" s="23">
        <v>5210100590</v>
      </c>
      <c r="E49" s="23">
        <v>111</v>
      </c>
      <c r="F49" s="23">
        <v>211</v>
      </c>
      <c r="G49" s="23"/>
      <c r="H49" s="24">
        <f>2825577+116785</f>
        <v>2942362</v>
      </c>
      <c r="I49" s="14">
        <f>101400+117670.5</f>
        <v>219070.5</v>
      </c>
      <c r="J49" s="14">
        <v>218095</v>
      </c>
      <c r="K49" s="14">
        <v>246332</v>
      </c>
      <c r="L49" s="14">
        <v>287704</v>
      </c>
      <c r="M49" s="14">
        <v>221360</v>
      </c>
      <c r="N49" s="14">
        <v>248778</v>
      </c>
      <c r="O49" s="14">
        <v>187019</v>
      </c>
      <c r="P49" s="14">
        <v>269483</v>
      </c>
      <c r="Q49" s="14">
        <f>178393+116785</f>
        <v>295178</v>
      </c>
      <c r="R49" s="14">
        <v>326954</v>
      </c>
      <c r="S49" s="14">
        <v>204011</v>
      </c>
      <c r="T49" s="14">
        <f>336048-117670.5</f>
        <v>218377.5</v>
      </c>
      <c r="U49" s="100"/>
      <c r="V49" s="15">
        <f>SUM(I49:T49)</f>
        <v>2942362</v>
      </c>
    </row>
    <row r="50" spans="1:22" ht="89.25">
      <c r="A50" s="56" t="s">
        <v>87</v>
      </c>
      <c r="B50" s="109" t="s">
        <v>166</v>
      </c>
      <c r="C50" s="23" t="s">
        <v>6</v>
      </c>
      <c r="D50" s="23">
        <v>5210100590</v>
      </c>
      <c r="E50" s="23">
        <v>119</v>
      </c>
      <c r="F50" s="10">
        <v>213</v>
      </c>
      <c r="G50" s="23"/>
      <c r="H50" s="24">
        <f>853323+35269</f>
        <v>888592</v>
      </c>
      <c r="I50" s="14">
        <v>0</v>
      </c>
      <c r="J50" s="14">
        <v>65272</v>
      </c>
      <c r="K50" s="14">
        <v>64970</v>
      </c>
      <c r="L50" s="14">
        <v>70940</v>
      </c>
      <c r="M50" s="14">
        <v>84381</v>
      </c>
      <c r="N50" s="14">
        <v>65703</v>
      </c>
      <c r="O50" s="14">
        <v>72604</v>
      </c>
      <c r="P50" s="14">
        <v>70157</v>
      </c>
      <c r="Q50" s="14">
        <v>71663</v>
      </c>
      <c r="R50" s="14">
        <f>61871+35269</f>
        <v>97140</v>
      </c>
      <c r="S50" s="14">
        <v>86211</v>
      </c>
      <c r="T50" s="14">
        <v>139551</v>
      </c>
      <c r="U50" s="100"/>
      <c r="V50" s="15">
        <f>SUM(I50:T50)</f>
        <v>888592</v>
      </c>
    </row>
    <row r="51" spans="1:22" ht="25.5">
      <c r="A51" s="56" t="s">
        <v>87</v>
      </c>
      <c r="B51" s="48" t="s">
        <v>157</v>
      </c>
      <c r="C51" s="23" t="s">
        <v>6</v>
      </c>
      <c r="D51" s="23">
        <v>5210100590</v>
      </c>
      <c r="E51" s="23">
        <v>244</v>
      </c>
      <c r="F51" s="23">
        <v>226</v>
      </c>
      <c r="G51" s="23"/>
      <c r="H51" s="24">
        <f>403300+8300</f>
        <v>411600</v>
      </c>
      <c r="I51" s="14">
        <f>9600+10992+91040</f>
        <v>111632</v>
      </c>
      <c r="J51" s="14">
        <f>9600+21900-10992-10908+8300</f>
        <v>17900</v>
      </c>
      <c r="K51" s="14">
        <f>9600+3500</f>
        <v>13100</v>
      </c>
      <c r="L51" s="14">
        <v>73300</v>
      </c>
      <c r="M51" s="14">
        <v>9600</v>
      </c>
      <c r="N51" s="14">
        <v>9600</v>
      </c>
      <c r="O51" s="14">
        <v>52800</v>
      </c>
      <c r="P51" s="14">
        <v>9600</v>
      </c>
      <c r="Q51" s="14">
        <f>9600+43390</f>
        <v>52990</v>
      </c>
      <c r="R51" s="14">
        <f>55150-31040</f>
        <v>24110</v>
      </c>
      <c r="S51" s="14">
        <f>9600+2350+30000-20000-12350</f>
        <v>9600</v>
      </c>
      <c r="T51" s="14">
        <f>87368-60000</f>
        <v>27368</v>
      </c>
      <c r="U51" s="100"/>
      <c r="V51" s="15">
        <f>SUM(I51:T51)</f>
        <v>411600</v>
      </c>
    </row>
    <row r="52" spans="1:22" ht="38.25">
      <c r="A52" s="56" t="s">
        <v>87</v>
      </c>
      <c r="B52" s="48" t="s">
        <v>158</v>
      </c>
      <c r="C52" s="23" t="s">
        <v>6</v>
      </c>
      <c r="D52" s="23">
        <v>5210100590</v>
      </c>
      <c r="E52" s="23">
        <v>244</v>
      </c>
      <c r="F52" s="23">
        <v>340</v>
      </c>
      <c r="G52" s="23"/>
      <c r="H52" s="24">
        <v>56000</v>
      </c>
      <c r="I52" s="14">
        <v>0</v>
      </c>
      <c r="J52" s="14">
        <v>0</v>
      </c>
      <c r="K52" s="14">
        <v>0</v>
      </c>
      <c r="L52" s="14">
        <v>15000</v>
      </c>
      <c r="M52" s="14">
        <v>0</v>
      </c>
      <c r="N52" s="14">
        <v>0</v>
      </c>
      <c r="O52" s="14">
        <v>0</v>
      </c>
      <c r="P52" s="14">
        <f>20000-10400</f>
        <v>9600</v>
      </c>
      <c r="Q52" s="14">
        <v>21000</v>
      </c>
      <c r="R52" s="14">
        <v>0</v>
      </c>
      <c r="S52" s="14">
        <v>0</v>
      </c>
      <c r="T52" s="14">
        <v>10400</v>
      </c>
      <c r="U52" s="100"/>
      <c r="V52" s="15">
        <f>SUM(I52:T52)</f>
        <v>56000</v>
      </c>
    </row>
    <row r="53" spans="1:22" ht="12.75">
      <c r="A53" s="56"/>
      <c r="B53" s="23"/>
      <c r="C53" s="28"/>
      <c r="D53" s="28"/>
      <c r="E53" s="28"/>
      <c r="F53" s="28"/>
      <c r="G53" s="2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00"/>
      <c r="V53" s="15"/>
    </row>
    <row r="54" spans="1:22" s="7" customFormat="1" ht="85.5" customHeight="1">
      <c r="A54" s="62" t="s">
        <v>87</v>
      </c>
      <c r="B54" s="90" t="s">
        <v>51</v>
      </c>
      <c r="C54" s="37" t="s">
        <v>6</v>
      </c>
      <c r="D54" s="37">
        <v>5220000000</v>
      </c>
      <c r="E54" s="37"/>
      <c r="F54" s="36"/>
      <c r="G54" s="37"/>
      <c r="H54" s="13">
        <f aca="true" t="shared" si="8" ref="H54:T54">H55+H56+H59+H61+H62+H63+H58+H60+H57+H64</f>
        <v>8676500</v>
      </c>
      <c r="I54" s="13">
        <f t="shared" si="8"/>
        <v>278493.50999999995</v>
      </c>
      <c r="J54" s="13">
        <f t="shared" si="8"/>
        <v>649415</v>
      </c>
      <c r="K54" s="13">
        <f t="shared" si="8"/>
        <v>593404.72</v>
      </c>
      <c r="L54" s="13">
        <f t="shared" si="8"/>
        <v>749060.7</v>
      </c>
      <c r="M54" s="13">
        <f t="shared" si="8"/>
        <v>619245.37</v>
      </c>
      <c r="N54" s="13">
        <f t="shared" si="8"/>
        <v>769040</v>
      </c>
      <c r="O54" s="13">
        <f t="shared" si="8"/>
        <v>710785</v>
      </c>
      <c r="P54" s="13">
        <f t="shared" si="8"/>
        <v>727240.77</v>
      </c>
      <c r="Q54" s="13">
        <f t="shared" si="8"/>
        <v>678458.35</v>
      </c>
      <c r="R54" s="13">
        <f t="shared" si="8"/>
        <v>755180.92</v>
      </c>
      <c r="S54" s="13">
        <f t="shared" si="8"/>
        <v>888123.9500000001</v>
      </c>
      <c r="T54" s="13">
        <f t="shared" si="8"/>
        <v>1258051.7100000002</v>
      </c>
      <c r="U54" s="101"/>
      <c r="V54" s="88">
        <f>V55+V56+V59+V61+V62+V63+V58+V60+V57+V64</f>
        <v>8676500</v>
      </c>
    </row>
    <row r="55" spans="1:22" ht="25.5">
      <c r="A55" s="56" t="s">
        <v>87</v>
      </c>
      <c r="B55" s="109" t="s">
        <v>165</v>
      </c>
      <c r="C55" s="23" t="s">
        <v>6</v>
      </c>
      <c r="D55" s="23">
        <v>5220100590</v>
      </c>
      <c r="E55" s="23">
        <v>111</v>
      </c>
      <c r="F55" s="23">
        <v>211</v>
      </c>
      <c r="G55" s="23"/>
      <c r="H55" s="24">
        <v>5264210</v>
      </c>
      <c r="I55" s="14">
        <f>222675-44825.83</f>
        <v>177849.16999999998</v>
      </c>
      <c r="J55" s="14">
        <v>412560</v>
      </c>
      <c r="K55" s="14">
        <v>361449</v>
      </c>
      <c r="L55" s="14">
        <v>404904</v>
      </c>
      <c r="M55" s="14">
        <v>403786</v>
      </c>
      <c r="N55" s="14">
        <v>563806</v>
      </c>
      <c r="O55" s="14">
        <v>467614</v>
      </c>
      <c r="P55" s="14">
        <v>466909</v>
      </c>
      <c r="Q55" s="14">
        <v>414738</v>
      </c>
      <c r="R55" s="14">
        <f>464562+44825.83</f>
        <v>509387.83</v>
      </c>
      <c r="S55" s="14">
        <v>534680</v>
      </c>
      <c r="T55" s="14">
        <v>546527</v>
      </c>
      <c r="U55" s="100"/>
      <c r="V55" s="15">
        <f aca="true" t="shared" si="9" ref="V55:V64">SUM(I55:T55)</f>
        <v>5264210</v>
      </c>
    </row>
    <row r="56" spans="1:22" ht="89.25">
      <c r="A56" s="56" t="s">
        <v>87</v>
      </c>
      <c r="B56" s="109" t="s">
        <v>166</v>
      </c>
      <c r="C56" s="23" t="s">
        <v>6</v>
      </c>
      <c r="D56" s="23">
        <v>5220100590</v>
      </c>
      <c r="E56" s="23">
        <v>119</v>
      </c>
      <c r="F56" s="23">
        <v>213</v>
      </c>
      <c r="G56" s="23"/>
      <c r="H56" s="24">
        <v>1589790</v>
      </c>
      <c r="I56" s="14">
        <v>0</v>
      </c>
      <c r="J56" s="14">
        <f>140735.45-20578.8-0.65</f>
        <v>120156.00000000001</v>
      </c>
      <c r="K56" s="14">
        <f>140735.45-29625.34-0.11</f>
        <v>111110.00000000001</v>
      </c>
      <c r="L56" s="14">
        <f>140735.45-30151.55-0.9</f>
        <v>110583.00000000001</v>
      </c>
      <c r="M56" s="14">
        <f>140735.45-23429.22-0.23</f>
        <v>117306.00000000001</v>
      </c>
      <c r="N56" s="14">
        <f>140735.45-24345.74-0.71</f>
        <v>116389</v>
      </c>
      <c r="O56" s="14">
        <f>140735.45+20083-886.53-0.92</f>
        <v>159931</v>
      </c>
      <c r="P56" s="14">
        <f>140735.45+20083-37113.77-0.68</f>
        <v>123704.00000000003</v>
      </c>
      <c r="Q56" s="14">
        <f>140735.45+23429.22-55788.94-0.73</f>
        <v>108375.00000000001</v>
      </c>
      <c r="R56" s="14">
        <f>140735.45+30151.55+55788.94-120501.44-0.5</f>
        <v>106174</v>
      </c>
      <c r="S56" s="14">
        <f>140735.45+29625.34+17200+60250.72-49943.05+3184-0.46</f>
        <v>201052.00000000003</v>
      </c>
      <c r="T56" s="14">
        <f>140735.45+10.05+20578.8+24345.74-18860+886.53+37113.77+60250.72+49943.05-0.11+6</f>
        <v>315009.99999999994</v>
      </c>
      <c r="U56" s="100"/>
      <c r="V56" s="15">
        <f t="shared" si="9"/>
        <v>1589790</v>
      </c>
    </row>
    <row r="57" spans="1:22" ht="38.25" hidden="1">
      <c r="A57" s="56" t="s">
        <v>87</v>
      </c>
      <c r="B57" s="109" t="s">
        <v>200</v>
      </c>
      <c r="C57" s="23" t="s">
        <v>6</v>
      </c>
      <c r="D57" s="23">
        <v>5220100590</v>
      </c>
      <c r="E57" s="23">
        <v>112</v>
      </c>
      <c r="F57" s="23">
        <v>213</v>
      </c>
      <c r="G57" s="23"/>
      <c r="H57" s="2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00"/>
      <c r="V57" s="15">
        <f t="shared" si="9"/>
        <v>0</v>
      </c>
    </row>
    <row r="58" spans="1:22" ht="51">
      <c r="A58" s="56" t="s">
        <v>87</v>
      </c>
      <c r="B58" s="48" t="s">
        <v>169</v>
      </c>
      <c r="C58" s="23" t="s">
        <v>6</v>
      </c>
      <c r="D58" s="23">
        <v>5220100590</v>
      </c>
      <c r="E58" s="23">
        <v>242</v>
      </c>
      <c r="F58" s="23"/>
      <c r="G58" s="23"/>
      <c r="H58" s="24">
        <v>408800</v>
      </c>
      <c r="I58" s="14">
        <v>21911.15</v>
      </c>
      <c r="J58" s="14">
        <f>35736.36-13789.61-0.75</f>
        <v>21946</v>
      </c>
      <c r="K58" s="14">
        <f>35736.36-15879.46+2000-0.9</f>
        <v>21856</v>
      </c>
      <c r="L58" s="14">
        <f>35736.36-15879.46+2000-0.9</f>
        <v>21856</v>
      </c>
      <c r="M58" s="14">
        <f>35736.36-15729.7+2000-0.66</f>
        <v>22006</v>
      </c>
      <c r="N58" s="14">
        <f>35736.36-14040.77+1000-0.59</f>
        <v>22695</v>
      </c>
      <c r="O58" s="14">
        <f>35736.36-14296.08+1000-0.28</f>
        <v>22440</v>
      </c>
      <c r="P58" s="14">
        <f>35736.36+14040.77+14296.08-44514.63+3000-0.58</f>
        <v>22558.000000000007</v>
      </c>
      <c r="Q58" s="14">
        <f>35736.36+15729.7-31657.49+3000-0.57</f>
        <v>22807.999999999996</v>
      </c>
      <c r="R58" s="14">
        <f>35736.36+15879.46-31051.73+1700-0.09</f>
        <v>22264</v>
      </c>
      <c r="S58" s="14">
        <f>35736.36+15879.46+31657.49+31051.73-91702.03-0.01</f>
        <v>22622.999999999996</v>
      </c>
      <c r="T58" s="14">
        <v>163836.85</v>
      </c>
      <c r="U58" s="100"/>
      <c r="V58" s="15">
        <f t="shared" si="9"/>
        <v>408800</v>
      </c>
    </row>
    <row r="59" spans="1:22" ht="25.5">
      <c r="A59" s="56" t="s">
        <v>87</v>
      </c>
      <c r="B59" s="110" t="s">
        <v>168</v>
      </c>
      <c r="C59" s="23" t="s">
        <v>6</v>
      </c>
      <c r="D59" s="23">
        <v>5220100590</v>
      </c>
      <c r="E59" s="23">
        <v>247</v>
      </c>
      <c r="F59" s="23">
        <v>226</v>
      </c>
      <c r="G59" s="23"/>
      <c r="H59" s="24">
        <v>384500</v>
      </c>
      <c r="I59" s="14">
        <v>14924.46</v>
      </c>
      <c r="J59" s="14">
        <v>32950</v>
      </c>
      <c r="K59" s="14">
        <v>54800</v>
      </c>
      <c r="L59" s="14">
        <v>32000</v>
      </c>
      <c r="M59" s="14">
        <v>17800</v>
      </c>
      <c r="N59" s="14">
        <f>11100+350</f>
        <v>11450</v>
      </c>
      <c r="O59" s="14">
        <v>25800</v>
      </c>
      <c r="P59" s="14">
        <v>34700</v>
      </c>
      <c r="Q59" s="14">
        <v>47500</v>
      </c>
      <c r="R59" s="14">
        <v>31200</v>
      </c>
      <c r="S59" s="14">
        <v>31500</v>
      </c>
      <c r="T59" s="14">
        <f>64800-14924.46</f>
        <v>49875.54</v>
      </c>
      <c r="U59" s="100"/>
      <c r="V59" s="15">
        <f t="shared" si="9"/>
        <v>384499.99999999994</v>
      </c>
    </row>
    <row r="60" spans="1:22" ht="25.5">
      <c r="A60" s="56"/>
      <c r="B60" s="48" t="s">
        <v>157</v>
      </c>
      <c r="C60" s="23" t="s">
        <v>6</v>
      </c>
      <c r="D60" s="23">
        <v>5220100590</v>
      </c>
      <c r="E60" s="23">
        <v>244</v>
      </c>
      <c r="F60" s="23"/>
      <c r="G60" s="23"/>
      <c r="H60" s="24">
        <v>483700</v>
      </c>
      <c r="I60" s="14">
        <f>43000-1318.27</f>
        <v>41681.73</v>
      </c>
      <c r="J60" s="14">
        <v>49980</v>
      </c>
      <c r="K60" s="14">
        <f>28600+675</f>
        <v>29275</v>
      </c>
      <c r="L60" s="14">
        <f>117732</f>
        <v>117732</v>
      </c>
      <c r="M60" s="14">
        <f>28600+675-62</f>
        <v>29213</v>
      </c>
      <c r="N60" s="14">
        <v>15800</v>
      </c>
      <c r="O60" s="14">
        <v>12500</v>
      </c>
      <c r="P60" s="14">
        <v>46100</v>
      </c>
      <c r="Q60" s="14">
        <v>29300</v>
      </c>
      <c r="R60" s="14">
        <v>29300</v>
      </c>
      <c r="S60" s="14">
        <f>22100+1318.27</f>
        <v>23418.27</v>
      </c>
      <c r="T60" s="14">
        <v>59400</v>
      </c>
      <c r="U60" s="100"/>
      <c r="V60" s="15">
        <f t="shared" si="9"/>
        <v>483700</v>
      </c>
    </row>
    <row r="61" spans="1:22" s="7" customFormat="1" ht="38.25">
      <c r="A61" s="65" t="s">
        <v>87</v>
      </c>
      <c r="B61" s="48" t="s">
        <v>158</v>
      </c>
      <c r="C61" s="23" t="s">
        <v>6</v>
      </c>
      <c r="D61" s="23">
        <v>5220100590</v>
      </c>
      <c r="E61" s="23">
        <v>244</v>
      </c>
      <c r="F61" s="23">
        <v>340</v>
      </c>
      <c r="G61" s="23" t="s">
        <v>41</v>
      </c>
      <c r="H61" s="24">
        <v>486500</v>
      </c>
      <c r="I61" s="14">
        <v>0</v>
      </c>
      <c r="J61" s="14">
        <v>9700</v>
      </c>
      <c r="K61" s="14">
        <f>20000+32500-37585.28</f>
        <v>14914.720000000001</v>
      </c>
      <c r="L61" s="14">
        <f>32500+29485.7</f>
        <v>61985.7</v>
      </c>
      <c r="M61" s="14">
        <f>20000+32500-23365.63</f>
        <v>29134.37</v>
      </c>
      <c r="N61" s="14">
        <f>21400+32500-15000</f>
        <v>38900</v>
      </c>
      <c r="O61" s="14">
        <f>32500-10000</f>
        <v>22500</v>
      </c>
      <c r="P61" s="14">
        <f>20000+32500+10000-43330.23</f>
        <v>19169.769999999997</v>
      </c>
      <c r="Q61" s="14">
        <f>32500+23365.63+15000-15128.28</f>
        <v>55737.350000000006</v>
      </c>
      <c r="R61" s="14">
        <f>20000+32500+15000-10644.91</f>
        <v>56855.09</v>
      </c>
      <c r="S61" s="14">
        <f>20000+32500+37585.28-29485.7+15128.28+1064.91-13142.09</f>
        <v>63650.68000000001</v>
      </c>
      <c r="T61" s="14">
        <f>31100+32500+32500-31900+43330.23+9580+13142.09-16300</f>
        <v>113952.32</v>
      </c>
      <c r="U61" s="100"/>
      <c r="V61" s="15">
        <f t="shared" si="9"/>
        <v>486500</v>
      </c>
    </row>
    <row r="62" spans="1:22" ht="30.75" customHeight="1">
      <c r="A62" s="56" t="s">
        <v>87</v>
      </c>
      <c r="B62" s="48" t="s">
        <v>159</v>
      </c>
      <c r="C62" s="23" t="s">
        <v>6</v>
      </c>
      <c r="D62" s="23">
        <v>5220100590</v>
      </c>
      <c r="E62" s="23">
        <v>851</v>
      </c>
      <c r="F62" s="23">
        <v>290</v>
      </c>
      <c r="G62" s="23" t="s">
        <v>50</v>
      </c>
      <c r="H62" s="24">
        <v>46000</v>
      </c>
      <c r="I62" s="14">
        <v>20550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14100</v>
      </c>
      <c r="Q62" s="14">
        <v>0</v>
      </c>
      <c r="R62" s="14">
        <v>0</v>
      </c>
      <c r="S62" s="14">
        <v>11200</v>
      </c>
      <c r="T62" s="14">
        <f>20700-20550</f>
        <v>150</v>
      </c>
      <c r="U62" s="100"/>
      <c r="V62" s="15">
        <f t="shared" si="9"/>
        <v>46000</v>
      </c>
    </row>
    <row r="63" spans="1:22" ht="18" customHeight="1">
      <c r="A63" s="56" t="s">
        <v>87</v>
      </c>
      <c r="B63" s="48" t="s">
        <v>167</v>
      </c>
      <c r="C63" s="23" t="s">
        <v>6</v>
      </c>
      <c r="D63" s="23">
        <v>5220100590</v>
      </c>
      <c r="E63" s="23">
        <v>852</v>
      </c>
      <c r="F63" s="23"/>
      <c r="G63" s="23"/>
      <c r="H63" s="24">
        <v>13000</v>
      </c>
      <c r="I63" s="14">
        <v>1577</v>
      </c>
      <c r="J63" s="14">
        <f>3700-1577</f>
        <v>2123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9300</v>
      </c>
      <c r="U63" s="100"/>
      <c r="V63" s="15">
        <f t="shared" si="9"/>
        <v>13000</v>
      </c>
    </row>
    <row r="64" spans="1:22" ht="21" customHeight="1" hidden="1">
      <c r="A64" s="56" t="s">
        <v>87</v>
      </c>
      <c r="B64" s="48" t="s">
        <v>201</v>
      </c>
      <c r="C64" s="23" t="s">
        <v>6</v>
      </c>
      <c r="D64" s="23">
        <v>5220100590</v>
      </c>
      <c r="E64" s="23">
        <v>853</v>
      </c>
      <c r="F64" s="23"/>
      <c r="G64" s="23"/>
      <c r="H64" s="2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00"/>
      <c r="V64" s="15">
        <f t="shared" si="9"/>
        <v>0</v>
      </c>
    </row>
    <row r="65" spans="1:22" ht="12.75">
      <c r="A65" s="56"/>
      <c r="B65" s="23"/>
      <c r="C65" s="28"/>
      <c r="D65" s="28"/>
      <c r="E65" s="28"/>
      <c r="F65" s="28"/>
      <c r="G65" s="2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00"/>
      <c r="V65" s="15"/>
    </row>
    <row r="66" spans="1:22" s="7" customFormat="1" ht="51">
      <c r="A66" s="62" t="s">
        <v>87</v>
      </c>
      <c r="B66" s="90" t="s">
        <v>52</v>
      </c>
      <c r="C66" s="37" t="s">
        <v>6</v>
      </c>
      <c r="D66" s="37">
        <v>5230000000</v>
      </c>
      <c r="E66" s="36"/>
      <c r="F66" s="36"/>
      <c r="G66" s="37"/>
      <c r="H66" s="13">
        <f aca="true" t="shared" si="10" ref="H66:T66">H67+H68+H69</f>
        <v>1383500</v>
      </c>
      <c r="I66" s="13">
        <f t="shared" si="10"/>
        <v>55518.29</v>
      </c>
      <c r="J66" s="13">
        <f t="shared" si="10"/>
        <v>95400</v>
      </c>
      <c r="K66" s="13">
        <f t="shared" si="10"/>
        <v>111881.70999999999</v>
      </c>
      <c r="L66" s="13">
        <f t="shared" si="10"/>
        <v>92200</v>
      </c>
      <c r="M66" s="13">
        <f t="shared" si="10"/>
        <v>163900</v>
      </c>
      <c r="N66" s="13">
        <f t="shared" si="10"/>
        <v>110900</v>
      </c>
      <c r="O66" s="13">
        <f t="shared" si="10"/>
        <v>90125</v>
      </c>
      <c r="P66" s="13">
        <f t="shared" si="10"/>
        <v>110600</v>
      </c>
      <c r="Q66" s="13">
        <f t="shared" si="10"/>
        <v>100600</v>
      </c>
      <c r="R66" s="13">
        <f t="shared" si="10"/>
        <v>140900</v>
      </c>
      <c r="S66" s="13">
        <f t="shared" si="10"/>
        <v>123900</v>
      </c>
      <c r="T66" s="13">
        <f t="shared" si="10"/>
        <v>187575</v>
      </c>
      <c r="U66" s="58"/>
      <c r="V66" s="88">
        <f>V67+V68+V69</f>
        <v>1383500</v>
      </c>
    </row>
    <row r="67" spans="1:22" ht="25.5">
      <c r="A67" s="56" t="s">
        <v>87</v>
      </c>
      <c r="B67" s="109" t="s">
        <v>165</v>
      </c>
      <c r="C67" s="23" t="s">
        <v>6</v>
      </c>
      <c r="D67" s="23">
        <v>5230100590</v>
      </c>
      <c r="E67" s="23">
        <v>111</v>
      </c>
      <c r="F67" s="23">
        <v>211</v>
      </c>
      <c r="G67" s="23"/>
      <c r="H67" s="24">
        <v>1036175</v>
      </c>
      <c r="I67" s="14">
        <f>31900+23618.29</f>
        <v>55518.29</v>
      </c>
      <c r="J67" s="14">
        <v>73700</v>
      </c>
      <c r="K67" s="14">
        <f>110400-23618.29</f>
        <v>86781.70999999999</v>
      </c>
      <c r="L67" s="14">
        <v>62100</v>
      </c>
      <c r="M67" s="14">
        <v>141300</v>
      </c>
      <c r="N67" s="14">
        <v>53800</v>
      </c>
      <c r="O67" s="14">
        <v>72800</v>
      </c>
      <c r="P67" s="14">
        <v>88000</v>
      </c>
      <c r="Q67" s="14">
        <v>77700</v>
      </c>
      <c r="R67" s="14">
        <v>116100</v>
      </c>
      <c r="S67" s="14">
        <v>85800</v>
      </c>
      <c r="T67" s="14">
        <v>122575</v>
      </c>
      <c r="U67" s="100"/>
      <c r="V67" s="15">
        <f>SUM(I67:T67)</f>
        <v>1036175</v>
      </c>
    </row>
    <row r="68" spans="1:22" ht="89.25">
      <c r="A68" s="56" t="s">
        <v>87</v>
      </c>
      <c r="B68" s="109" t="s">
        <v>166</v>
      </c>
      <c r="C68" s="23" t="s">
        <v>6</v>
      </c>
      <c r="D68" s="23">
        <v>5230100590</v>
      </c>
      <c r="E68" s="23">
        <v>119</v>
      </c>
      <c r="F68" s="23">
        <v>213</v>
      </c>
      <c r="G68" s="23"/>
      <c r="H68" s="24">
        <v>312925</v>
      </c>
      <c r="I68" s="14">
        <v>0</v>
      </c>
      <c r="J68" s="14">
        <v>21700</v>
      </c>
      <c r="K68" s="14">
        <v>25100</v>
      </c>
      <c r="L68" s="14">
        <v>30100</v>
      </c>
      <c r="M68" s="14">
        <v>22600</v>
      </c>
      <c r="N68" s="14">
        <v>39900</v>
      </c>
      <c r="O68" s="14">
        <v>17325</v>
      </c>
      <c r="P68" s="14">
        <v>22600</v>
      </c>
      <c r="Q68" s="14">
        <v>22900</v>
      </c>
      <c r="R68" s="14">
        <v>24800</v>
      </c>
      <c r="S68" s="14">
        <v>38100</v>
      </c>
      <c r="T68" s="14">
        <v>47800</v>
      </c>
      <c r="U68" s="100"/>
      <c r="V68" s="15">
        <f>SUM(I68:T68)</f>
        <v>312925</v>
      </c>
    </row>
    <row r="69" spans="1:22" ht="38.25">
      <c r="A69" s="56" t="s">
        <v>87</v>
      </c>
      <c r="B69" s="48" t="s">
        <v>158</v>
      </c>
      <c r="C69" s="23" t="s">
        <v>6</v>
      </c>
      <c r="D69" s="23">
        <v>5230100590</v>
      </c>
      <c r="E69" s="23">
        <v>244</v>
      </c>
      <c r="F69" s="23">
        <v>340</v>
      </c>
      <c r="G69" s="23"/>
      <c r="H69" s="24">
        <v>34400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17200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17200</v>
      </c>
      <c r="U69" s="100"/>
      <c r="V69" s="15">
        <f>SUM(I69:T69)</f>
        <v>34400</v>
      </c>
    </row>
    <row r="70" spans="1:22" ht="12.75">
      <c r="A70" s="56"/>
      <c r="B70" s="23"/>
      <c r="C70" s="28"/>
      <c r="D70" s="28"/>
      <c r="E70" s="28"/>
      <c r="F70" s="28"/>
      <c r="G70" s="2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00"/>
      <c r="V70" s="15"/>
    </row>
    <row r="71" spans="1:22" ht="63.75">
      <c r="A71" s="62" t="s">
        <v>87</v>
      </c>
      <c r="B71" s="90" t="s">
        <v>107</v>
      </c>
      <c r="C71" s="37" t="s">
        <v>6</v>
      </c>
      <c r="D71" s="37">
        <v>5300000000</v>
      </c>
      <c r="E71" s="35"/>
      <c r="F71" s="35"/>
      <c r="G71" s="41"/>
      <c r="H71" s="13">
        <f aca="true" t="shared" si="11" ref="H71:T71">H75+H78+H81</f>
        <v>504400</v>
      </c>
      <c r="I71" s="13">
        <f t="shared" si="11"/>
        <v>0</v>
      </c>
      <c r="J71" s="13">
        <f t="shared" si="11"/>
        <v>0</v>
      </c>
      <c r="K71" s="13">
        <f t="shared" si="11"/>
        <v>62400</v>
      </c>
      <c r="L71" s="13">
        <f t="shared" si="11"/>
        <v>27144</v>
      </c>
      <c r="M71" s="13">
        <f t="shared" si="11"/>
        <v>35256</v>
      </c>
      <c r="N71" s="13">
        <f t="shared" si="11"/>
        <v>151200</v>
      </c>
      <c r="O71" s="13">
        <f t="shared" si="11"/>
        <v>34650</v>
      </c>
      <c r="P71" s="13">
        <f t="shared" si="11"/>
        <v>31200</v>
      </c>
      <c r="Q71" s="13">
        <f t="shared" si="11"/>
        <v>31200</v>
      </c>
      <c r="R71" s="13">
        <f t="shared" si="11"/>
        <v>62400</v>
      </c>
      <c r="S71" s="13">
        <f t="shared" si="11"/>
        <v>0</v>
      </c>
      <c r="T71" s="13">
        <f t="shared" si="11"/>
        <v>68950</v>
      </c>
      <c r="U71" s="101"/>
      <c r="V71" s="87">
        <f>SUM(I71:T71)</f>
        <v>504400</v>
      </c>
    </row>
    <row r="72" spans="1:22" ht="12.75" hidden="1">
      <c r="A72" s="56" t="s">
        <v>37</v>
      </c>
      <c r="B72" s="23" t="s">
        <v>14</v>
      </c>
      <c r="C72" s="28" t="s">
        <v>6</v>
      </c>
      <c r="D72" s="16">
        <v>5510110010</v>
      </c>
      <c r="E72" s="28">
        <v>244</v>
      </c>
      <c r="F72" s="28">
        <v>290</v>
      </c>
      <c r="G72" s="23" t="s">
        <v>50</v>
      </c>
      <c r="H72" s="2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00"/>
      <c r="V72" s="15">
        <f>SUM(I72:T72)</f>
        <v>0</v>
      </c>
    </row>
    <row r="73" spans="1:22" ht="12.75">
      <c r="A73" s="56"/>
      <c r="B73" s="23"/>
      <c r="C73" s="28"/>
      <c r="D73" s="16"/>
      <c r="E73" s="28"/>
      <c r="F73" s="28"/>
      <c r="G73" s="2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00"/>
      <c r="V73" s="15"/>
    </row>
    <row r="74" spans="1:22" ht="12.75" hidden="1">
      <c r="A74" s="60"/>
      <c r="B74" s="67"/>
      <c r="C74" s="16"/>
      <c r="D74" s="16"/>
      <c r="E74" s="16"/>
      <c r="F74" s="16"/>
      <c r="G74" s="10"/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00"/>
      <c r="V74" s="15">
        <f>SUM(I74:T74)</f>
        <v>0</v>
      </c>
    </row>
    <row r="75" spans="1:22" s="7" customFormat="1" ht="123" customHeight="1">
      <c r="A75" s="62" t="s">
        <v>87</v>
      </c>
      <c r="B75" s="90" t="s">
        <v>108</v>
      </c>
      <c r="C75" s="37" t="s">
        <v>6</v>
      </c>
      <c r="D75" s="37">
        <v>5310000000</v>
      </c>
      <c r="E75" s="37"/>
      <c r="F75" s="36"/>
      <c r="G75" s="37"/>
      <c r="H75" s="13">
        <f aca="true" t="shared" si="12" ref="H75:T75">H76</f>
        <v>374400</v>
      </c>
      <c r="I75" s="13">
        <f t="shared" si="12"/>
        <v>0</v>
      </c>
      <c r="J75" s="13">
        <f t="shared" si="12"/>
        <v>0</v>
      </c>
      <c r="K75" s="13">
        <f t="shared" si="12"/>
        <v>62400</v>
      </c>
      <c r="L75" s="13">
        <f t="shared" si="12"/>
        <v>27144</v>
      </c>
      <c r="M75" s="13">
        <f t="shared" si="12"/>
        <v>35256</v>
      </c>
      <c r="N75" s="13">
        <f t="shared" si="12"/>
        <v>31200</v>
      </c>
      <c r="O75" s="13">
        <f t="shared" si="12"/>
        <v>31200</v>
      </c>
      <c r="P75" s="13">
        <f t="shared" si="12"/>
        <v>31200</v>
      </c>
      <c r="Q75" s="13">
        <f t="shared" si="12"/>
        <v>31200</v>
      </c>
      <c r="R75" s="13">
        <f t="shared" si="12"/>
        <v>62400</v>
      </c>
      <c r="S75" s="13">
        <f t="shared" si="12"/>
        <v>0</v>
      </c>
      <c r="T75" s="13">
        <f t="shared" si="12"/>
        <v>62400</v>
      </c>
      <c r="U75" s="101"/>
      <c r="V75" s="87">
        <f>SUM(I75:T75)</f>
        <v>374400</v>
      </c>
    </row>
    <row r="76" spans="1:22" ht="24.75" customHeight="1">
      <c r="A76" s="56" t="s">
        <v>87</v>
      </c>
      <c r="B76" s="48" t="s">
        <v>170</v>
      </c>
      <c r="C76" s="23" t="s">
        <v>6</v>
      </c>
      <c r="D76" s="10">
        <v>5310110020</v>
      </c>
      <c r="E76" s="10">
        <v>360</v>
      </c>
      <c r="F76" s="10">
        <v>296</v>
      </c>
      <c r="G76" s="10" t="s">
        <v>53</v>
      </c>
      <c r="H76" s="29">
        <v>374400</v>
      </c>
      <c r="I76" s="14">
        <v>0</v>
      </c>
      <c r="J76" s="14">
        <v>0</v>
      </c>
      <c r="K76" s="14">
        <f>93600-31200</f>
        <v>62400</v>
      </c>
      <c r="L76" s="14">
        <v>27144</v>
      </c>
      <c r="M76" s="14">
        <v>35256</v>
      </c>
      <c r="N76" s="14">
        <f>93600-27144-35256</f>
        <v>31200</v>
      </c>
      <c r="O76" s="14">
        <v>31200</v>
      </c>
      <c r="P76" s="14">
        <f>35256-4056</f>
        <v>31200</v>
      </c>
      <c r="Q76" s="14">
        <f>93600-62400</f>
        <v>31200</v>
      </c>
      <c r="R76" s="14">
        <f>4056+58344</f>
        <v>62400</v>
      </c>
      <c r="S76" s="14">
        <v>0</v>
      </c>
      <c r="T76" s="14">
        <v>62400</v>
      </c>
      <c r="U76" s="100"/>
      <c r="V76" s="15">
        <f>SUM(I76:T76)</f>
        <v>374400</v>
      </c>
    </row>
    <row r="77" spans="1:22" ht="12.75">
      <c r="A77" s="56"/>
      <c r="B77" s="23"/>
      <c r="C77" s="23"/>
      <c r="D77" s="23"/>
      <c r="E77" s="23"/>
      <c r="F77" s="28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103"/>
      <c r="V77" s="15"/>
    </row>
    <row r="78" spans="1:22" s="7" customFormat="1" ht="76.5">
      <c r="A78" s="62" t="s">
        <v>87</v>
      </c>
      <c r="B78" s="90" t="s">
        <v>109</v>
      </c>
      <c r="C78" s="37" t="s">
        <v>6</v>
      </c>
      <c r="D78" s="37">
        <v>5320000000</v>
      </c>
      <c r="E78" s="37"/>
      <c r="F78" s="37"/>
      <c r="G78" s="37"/>
      <c r="H78" s="13">
        <f aca="true" t="shared" si="13" ref="H78:T78">H80</f>
        <v>10000</v>
      </c>
      <c r="I78" s="13">
        <f t="shared" si="13"/>
        <v>0</v>
      </c>
      <c r="J78" s="13">
        <f t="shared" si="13"/>
        <v>0</v>
      </c>
      <c r="K78" s="13">
        <f t="shared" si="13"/>
        <v>0</v>
      </c>
      <c r="L78" s="13">
        <f t="shared" si="13"/>
        <v>0</v>
      </c>
      <c r="M78" s="13">
        <f t="shared" si="13"/>
        <v>0</v>
      </c>
      <c r="N78" s="13">
        <f t="shared" si="13"/>
        <v>0</v>
      </c>
      <c r="O78" s="13">
        <f t="shared" si="13"/>
        <v>3450</v>
      </c>
      <c r="P78" s="13">
        <f t="shared" si="13"/>
        <v>0</v>
      </c>
      <c r="Q78" s="13">
        <f t="shared" si="13"/>
        <v>0</v>
      </c>
      <c r="R78" s="13">
        <f t="shared" si="13"/>
        <v>0</v>
      </c>
      <c r="S78" s="13">
        <f t="shared" si="13"/>
        <v>0</v>
      </c>
      <c r="T78" s="13">
        <f t="shared" si="13"/>
        <v>6550</v>
      </c>
      <c r="U78" s="101"/>
      <c r="V78" s="87">
        <f>SUM(I78:T78)</f>
        <v>10000</v>
      </c>
    </row>
    <row r="79" spans="1:22" s="8" customFormat="1" ht="12.75">
      <c r="A79" s="64"/>
      <c r="B79" s="9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103"/>
      <c r="V79" s="39"/>
    </row>
    <row r="80" spans="1:22" ht="38.25">
      <c r="A80" s="56" t="s">
        <v>87</v>
      </c>
      <c r="B80" s="48" t="s">
        <v>158</v>
      </c>
      <c r="C80" s="23" t="s">
        <v>6</v>
      </c>
      <c r="D80" s="10">
        <v>5320110030</v>
      </c>
      <c r="E80" s="23">
        <v>244</v>
      </c>
      <c r="F80" s="23">
        <v>340</v>
      </c>
      <c r="G80" s="23"/>
      <c r="H80" s="29">
        <v>10000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3450</v>
      </c>
      <c r="P80" s="14">
        <v>0</v>
      </c>
      <c r="Q80" s="14">
        <v>0</v>
      </c>
      <c r="R80" s="14">
        <v>0</v>
      </c>
      <c r="S80" s="14">
        <v>0</v>
      </c>
      <c r="T80" s="14">
        <v>6550</v>
      </c>
      <c r="U80" s="100"/>
      <c r="V80" s="15">
        <f>SUM(I80:T80)</f>
        <v>10000</v>
      </c>
    </row>
    <row r="81" spans="1:22" s="7" customFormat="1" ht="76.5">
      <c r="A81" s="62" t="s">
        <v>87</v>
      </c>
      <c r="B81" s="90" t="s">
        <v>110</v>
      </c>
      <c r="C81" s="37" t="s">
        <v>6</v>
      </c>
      <c r="D81" s="37">
        <v>5330000000</v>
      </c>
      <c r="E81" s="37"/>
      <c r="F81" s="37"/>
      <c r="G81" s="37"/>
      <c r="H81" s="13">
        <f aca="true" t="shared" si="14" ref="H81:T81">H82</f>
        <v>120000</v>
      </c>
      <c r="I81" s="13">
        <f t="shared" si="14"/>
        <v>0</v>
      </c>
      <c r="J81" s="13">
        <f t="shared" si="14"/>
        <v>0</v>
      </c>
      <c r="K81" s="13">
        <f t="shared" si="14"/>
        <v>0</v>
      </c>
      <c r="L81" s="13">
        <f t="shared" si="14"/>
        <v>0</v>
      </c>
      <c r="M81" s="13">
        <f t="shared" si="14"/>
        <v>0</v>
      </c>
      <c r="N81" s="13">
        <f t="shared" si="14"/>
        <v>120000</v>
      </c>
      <c r="O81" s="13">
        <f t="shared" si="14"/>
        <v>0</v>
      </c>
      <c r="P81" s="13">
        <f t="shared" si="14"/>
        <v>0</v>
      </c>
      <c r="Q81" s="13">
        <f t="shared" si="14"/>
        <v>0</v>
      </c>
      <c r="R81" s="13">
        <f t="shared" si="14"/>
        <v>0</v>
      </c>
      <c r="S81" s="13">
        <f t="shared" si="14"/>
        <v>0</v>
      </c>
      <c r="T81" s="13">
        <f t="shared" si="14"/>
        <v>0</v>
      </c>
      <c r="U81" s="101"/>
      <c r="V81" s="87">
        <f>SUM(I81:T81)</f>
        <v>120000</v>
      </c>
    </row>
    <row r="82" spans="1:22" ht="29.25" customHeight="1">
      <c r="A82" s="56" t="s">
        <v>87</v>
      </c>
      <c r="B82" s="48" t="s">
        <v>157</v>
      </c>
      <c r="C82" s="23" t="s">
        <v>6</v>
      </c>
      <c r="D82" s="10">
        <v>5330110040</v>
      </c>
      <c r="E82" s="23">
        <v>244</v>
      </c>
      <c r="F82" s="23">
        <v>226</v>
      </c>
      <c r="G82" s="23"/>
      <c r="H82" s="14">
        <v>120000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120000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100"/>
      <c r="V82" s="15">
        <f>SUM(I82:T82)</f>
        <v>120000</v>
      </c>
    </row>
    <row r="83" spans="1:22" ht="12.75">
      <c r="A83" s="56"/>
      <c r="B83" s="23"/>
      <c r="C83" s="28"/>
      <c r="D83" s="16"/>
      <c r="E83" s="28"/>
      <c r="F83" s="28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103"/>
      <c r="V83" s="15"/>
    </row>
    <row r="84" spans="1:22" ht="71.25" customHeight="1">
      <c r="A84" s="62" t="s">
        <v>87</v>
      </c>
      <c r="B84" s="90" t="s">
        <v>111</v>
      </c>
      <c r="C84" s="37" t="s">
        <v>6</v>
      </c>
      <c r="D84" s="37">
        <v>5400000000</v>
      </c>
      <c r="E84" s="35"/>
      <c r="F84" s="35"/>
      <c r="G84" s="41"/>
      <c r="H84" s="13">
        <f aca="true" t="shared" si="15" ref="H84:T84">H86+H90</f>
        <v>481900</v>
      </c>
      <c r="I84" s="13">
        <f t="shared" si="15"/>
        <v>103402</v>
      </c>
      <c r="J84" s="13">
        <f t="shared" si="15"/>
        <v>34350</v>
      </c>
      <c r="K84" s="13">
        <f t="shared" si="15"/>
        <v>35150</v>
      </c>
      <c r="L84" s="13">
        <f t="shared" si="15"/>
        <v>35650</v>
      </c>
      <c r="M84" s="13">
        <f t="shared" si="15"/>
        <v>30650</v>
      </c>
      <c r="N84" s="13">
        <f t="shared" si="15"/>
        <v>47150</v>
      </c>
      <c r="O84" s="13">
        <f t="shared" si="15"/>
        <v>31000</v>
      </c>
      <c r="P84" s="13">
        <f t="shared" si="15"/>
        <v>35450</v>
      </c>
      <c r="Q84" s="13">
        <f t="shared" si="15"/>
        <v>31000</v>
      </c>
      <c r="R84" s="13">
        <f t="shared" si="15"/>
        <v>36300</v>
      </c>
      <c r="S84" s="13">
        <f t="shared" si="15"/>
        <v>30118</v>
      </c>
      <c r="T84" s="13">
        <f t="shared" si="15"/>
        <v>36680</v>
      </c>
      <c r="U84" s="101"/>
      <c r="V84" s="87">
        <f>SUM(I84:T84)</f>
        <v>486900</v>
      </c>
    </row>
    <row r="85" spans="1:22" ht="15" customHeight="1">
      <c r="A85" s="56"/>
      <c r="B85" s="23"/>
      <c r="C85" s="28"/>
      <c r="D85" s="16"/>
      <c r="E85" s="28"/>
      <c r="F85" s="28"/>
      <c r="G85" s="23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00"/>
      <c r="V85" s="15"/>
    </row>
    <row r="86" spans="1:22" s="7" customFormat="1" ht="98.25" customHeight="1">
      <c r="A86" s="62" t="s">
        <v>87</v>
      </c>
      <c r="B86" s="90" t="s">
        <v>171</v>
      </c>
      <c r="C86" s="37" t="s">
        <v>6</v>
      </c>
      <c r="D86" s="37">
        <v>5410000000</v>
      </c>
      <c r="E86" s="36"/>
      <c r="F86" s="36"/>
      <c r="G86" s="37"/>
      <c r="H86" s="13">
        <f aca="true" t="shared" si="16" ref="H86:T86">H87+H88+H89</f>
        <v>161200</v>
      </c>
      <c r="I86" s="13">
        <f t="shared" si="16"/>
        <v>63882</v>
      </c>
      <c r="J86" s="13">
        <f t="shared" si="16"/>
        <v>14350</v>
      </c>
      <c r="K86" s="13">
        <f t="shared" si="16"/>
        <v>15150</v>
      </c>
      <c r="L86" s="13">
        <f t="shared" si="16"/>
        <v>15150</v>
      </c>
      <c r="M86" s="13">
        <f t="shared" si="16"/>
        <v>5650</v>
      </c>
      <c r="N86" s="13">
        <f t="shared" si="16"/>
        <v>15150</v>
      </c>
      <c r="O86" s="13">
        <f t="shared" si="16"/>
        <v>5000</v>
      </c>
      <c r="P86" s="13">
        <f t="shared" si="16"/>
        <v>15450</v>
      </c>
      <c r="Q86" s="13">
        <f t="shared" si="16"/>
        <v>5000</v>
      </c>
      <c r="R86" s="13">
        <f t="shared" si="16"/>
        <v>6300</v>
      </c>
      <c r="S86" s="13">
        <f t="shared" si="16"/>
        <v>118</v>
      </c>
      <c r="T86" s="13">
        <f t="shared" si="16"/>
        <v>5000</v>
      </c>
      <c r="U86" s="101"/>
      <c r="V86" s="87">
        <f aca="true" t="shared" si="17" ref="V86:V97">SUM(I86:T86)</f>
        <v>166200</v>
      </c>
    </row>
    <row r="87" spans="1:22" ht="35.25" customHeight="1">
      <c r="A87" s="56" t="s">
        <v>87</v>
      </c>
      <c r="B87" s="48" t="s">
        <v>157</v>
      </c>
      <c r="C87" s="10" t="s">
        <v>6</v>
      </c>
      <c r="D87" s="10">
        <v>5410110060</v>
      </c>
      <c r="E87" s="10">
        <v>244</v>
      </c>
      <c r="F87" s="10">
        <v>226</v>
      </c>
      <c r="G87" s="10"/>
      <c r="H87" s="24">
        <v>56000</v>
      </c>
      <c r="I87" s="14">
        <f>5882+5000</f>
        <v>10882</v>
      </c>
      <c r="J87" s="14">
        <v>4200</v>
      </c>
      <c r="K87" s="14">
        <v>5000</v>
      </c>
      <c r="L87" s="14">
        <v>5000</v>
      </c>
      <c r="M87" s="14">
        <v>5500</v>
      </c>
      <c r="N87" s="14">
        <v>5000</v>
      </c>
      <c r="O87" s="14">
        <v>5000</v>
      </c>
      <c r="P87" s="14">
        <v>5300</v>
      </c>
      <c r="Q87" s="14">
        <v>5000</v>
      </c>
      <c r="R87" s="14">
        <v>5000</v>
      </c>
      <c r="S87" s="14">
        <f>6000-5882</f>
        <v>118</v>
      </c>
      <c r="T87" s="14">
        <v>5000</v>
      </c>
      <c r="U87" s="100"/>
      <c r="V87" s="15">
        <f t="shared" si="17"/>
        <v>61000</v>
      </c>
    </row>
    <row r="88" spans="1:22" ht="35.25" customHeight="1" hidden="1">
      <c r="A88" s="56" t="s">
        <v>87</v>
      </c>
      <c r="B88" s="48" t="s">
        <v>173</v>
      </c>
      <c r="C88" s="10" t="s">
        <v>6</v>
      </c>
      <c r="D88" s="10">
        <v>5410110060</v>
      </c>
      <c r="E88" s="10">
        <v>244</v>
      </c>
      <c r="F88" s="10">
        <v>310</v>
      </c>
      <c r="G88" s="10"/>
      <c r="H88" s="2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00"/>
      <c r="V88" s="15">
        <f t="shared" si="17"/>
        <v>0</v>
      </c>
    </row>
    <row r="89" spans="1:22" ht="41.25" customHeight="1">
      <c r="A89" s="56" t="s">
        <v>87</v>
      </c>
      <c r="B89" s="48" t="s">
        <v>158</v>
      </c>
      <c r="C89" s="10" t="s">
        <v>6</v>
      </c>
      <c r="D89" s="10">
        <v>5410110060</v>
      </c>
      <c r="E89" s="10">
        <v>244</v>
      </c>
      <c r="F89" s="10">
        <v>340</v>
      </c>
      <c r="G89" s="10"/>
      <c r="H89" s="24">
        <v>105200</v>
      </c>
      <c r="I89" s="14">
        <v>53000</v>
      </c>
      <c r="J89" s="14">
        <v>10150</v>
      </c>
      <c r="K89" s="14">
        <v>10150</v>
      </c>
      <c r="L89" s="14">
        <v>10150</v>
      </c>
      <c r="M89" s="14">
        <v>150</v>
      </c>
      <c r="N89" s="14">
        <v>10150</v>
      </c>
      <c r="O89" s="14">
        <v>0</v>
      </c>
      <c r="P89" s="14">
        <v>10150</v>
      </c>
      <c r="Q89" s="14">
        <v>0</v>
      </c>
      <c r="R89" s="14">
        <f>8850-7550</f>
        <v>1300</v>
      </c>
      <c r="S89" s="14">
        <v>0</v>
      </c>
      <c r="T89" s="14">
        <v>0</v>
      </c>
      <c r="U89" s="100"/>
      <c r="V89" s="15">
        <f t="shared" si="17"/>
        <v>105200</v>
      </c>
    </row>
    <row r="90" spans="1:22" s="7" customFormat="1" ht="86.25" customHeight="1">
      <c r="A90" s="62" t="s">
        <v>87</v>
      </c>
      <c r="B90" s="90" t="s">
        <v>172</v>
      </c>
      <c r="C90" s="37" t="s">
        <v>6</v>
      </c>
      <c r="D90" s="37">
        <v>5420000000</v>
      </c>
      <c r="E90" s="37"/>
      <c r="F90" s="37"/>
      <c r="G90" s="37"/>
      <c r="H90" s="13">
        <f aca="true" t="shared" si="18" ref="H90:T90">H91</f>
        <v>320700</v>
      </c>
      <c r="I90" s="13">
        <f t="shared" si="18"/>
        <v>39520</v>
      </c>
      <c r="J90" s="13">
        <f t="shared" si="18"/>
        <v>20000</v>
      </c>
      <c r="K90" s="13">
        <f t="shared" si="18"/>
        <v>20000</v>
      </c>
      <c r="L90" s="13">
        <f t="shared" si="18"/>
        <v>20500</v>
      </c>
      <c r="M90" s="13">
        <f t="shared" si="18"/>
        <v>25000</v>
      </c>
      <c r="N90" s="13">
        <f t="shared" si="18"/>
        <v>32000</v>
      </c>
      <c r="O90" s="13">
        <f t="shared" si="18"/>
        <v>26000</v>
      </c>
      <c r="P90" s="13">
        <f t="shared" si="18"/>
        <v>20000</v>
      </c>
      <c r="Q90" s="13">
        <f t="shared" si="18"/>
        <v>26000</v>
      </c>
      <c r="R90" s="13">
        <f t="shared" si="18"/>
        <v>30000</v>
      </c>
      <c r="S90" s="13">
        <f t="shared" si="18"/>
        <v>30000</v>
      </c>
      <c r="T90" s="13">
        <f t="shared" si="18"/>
        <v>31680</v>
      </c>
      <c r="U90" s="101"/>
      <c r="V90" s="87">
        <f t="shared" si="17"/>
        <v>320700</v>
      </c>
    </row>
    <row r="91" spans="1:22" ht="25.5" customHeight="1">
      <c r="A91" s="56" t="s">
        <v>87</v>
      </c>
      <c r="B91" s="48" t="s">
        <v>157</v>
      </c>
      <c r="C91" s="10" t="s">
        <v>6</v>
      </c>
      <c r="D91" s="10">
        <v>5420110070</v>
      </c>
      <c r="E91" s="10">
        <v>244</v>
      </c>
      <c r="F91" s="10">
        <v>226</v>
      </c>
      <c r="G91" s="10"/>
      <c r="H91" s="29">
        <v>320700</v>
      </c>
      <c r="I91" s="14">
        <f>15000+24520</f>
        <v>39520</v>
      </c>
      <c r="J91" s="14">
        <v>20000</v>
      </c>
      <c r="K91" s="14">
        <v>20000</v>
      </c>
      <c r="L91" s="14">
        <v>20500</v>
      </c>
      <c r="M91" s="14">
        <v>25000</v>
      </c>
      <c r="N91" s="14">
        <v>32000</v>
      </c>
      <c r="O91" s="14">
        <v>26000</v>
      </c>
      <c r="P91" s="14">
        <v>20000</v>
      </c>
      <c r="Q91" s="14">
        <v>26000</v>
      </c>
      <c r="R91" s="14">
        <v>30000</v>
      </c>
      <c r="S91" s="14">
        <v>30000</v>
      </c>
      <c r="T91" s="14">
        <f>56200-24520</f>
        <v>31680</v>
      </c>
      <c r="U91" s="100"/>
      <c r="V91" s="15">
        <f t="shared" si="17"/>
        <v>320700</v>
      </c>
    </row>
    <row r="92" spans="1:22" ht="15" customHeight="1">
      <c r="A92" s="60"/>
      <c r="B92" s="67"/>
      <c r="C92" s="12"/>
      <c r="D92" s="12"/>
      <c r="E92" s="16"/>
      <c r="F92" s="16"/>
      <c r="G92" s="10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00"/>
      <c r="V92" s="15">
        <f t="shared" si="17"/>
        <v>0</v>
      </c>
    </row>
    <row r="93" spans="1:22" ht="98.25" customHeight="1">
      <c r="A93" s="62" t="s">
        <v>87</v>
      </c>
      <c r="B93" s="90" t="s">
        <v>112</v>
      </c>
      <c r="C93" s="37" t="s">
        <v>6</v>
      </c>
      <c r="D93" s="37">
        <v>5500000000</v>
      </c>
      <c r="E93" s="41"/>
      <c r="F93" s="41"/>
      <c r="G93" s="41"/>
      <c r="H93" s="13">
        <f aca="true" t="shared" si="19" ref="H93:T93">H94</f>
        <v>100000</v>
      </c>
      <c r="I93" s="13">
        <f t="shared" si="19"/>
        <v>6830</v>
      </c>
      <c r="J93" s="13">
        <f t="shared" si="19"/>
        <v>0</v>
      </c>
      <c r="K93" s="13">
        <f t="shared" si="19"/>
        <v>10076</v>
      </c>
      <c r="L93" s="13">
        <f t="shared" si="19"/>
        <v>8000</v>
      </c>
      <c r="M93" s="13">
        <f t="shared" si="19"/>
        <v>0</v>
      </c>
      <c r="N93" s="13">
        <f t="shared" si="19"/>
        <v>27000</v>
      </c>
      <c r="O93" s="13">
        <f t="shared" si="19"/>
        <v>0</v>
      </c>
      <c r="P93" s="13">
        <f t="shared" si="19"/>
        <v>0</v>
      </c>
      <c r="Q93" s="13">
        <f t="shared" si="19"/>
        <v>13800</v>
      </c>
      <c r="R93" s="13">
        <f t="shared" si="19"/>
        <v>10540</v>
      </c>
      <c r="S93" s="13">
        <f t="shared" si="19"/>
        <v>0</v>
      </c>
      <c r="T93" s="13">
        <f t="shared" si="19"/>
        <v>23754</v>
      </c>
      <c r="U93" s="101"/>
      <c r="V93" s="87">
        <f t="shared" si="17"/>
        <v>100000</v>
      </c>
    </row>
    <row r="94" spans="1:22" ht="43.5" customHeight="1">
      <c r="A94" s="56" t="s">
        <v>87</v>
      </c>
      <c r="B94" s="48" t="s">
        <v>158</v>
      </c>
      <c r="C94" s="10" t="s">
        <v>6</v>
      </c>
      <c r="D94" s="10">
        <v>5510110930</v>
      </c>
      <c r="E94" s="10">
        <v>244</v>
      </c>
      <c r="F94" s="10">
        <v>290</v>
      </c>
      <c r="G94" s="10"/>
      <c r="H94" s="14">
        <v>100000</v>
      </c>
      <c r="I94" s="14">
        <v>6830</v>
      </c>
      <c r="J94" s="14">
        <v>0</v>
      </c>
      <c r="K94" s="14">
        <f>10000+6906-6830</f>
        <v>10076</v>
      </c>
      <c r="L94" s="14">
        <f>10000-2000</f>
        <v>8000</v>
      </c>
      <c r="M94" s="14">
        <v>0</v>
      </c>
      <c r="N94" s="14">
        <f>48434-21434</f>
        <v>27000</v>
      </c>
      <c r="O94" s="14">
        <v>0</v>
      </c>
      <c r="P94" s="14">
        <v>0</v>
      </c>
      <c r="Q94" s="14">
        <v>13800</v>
      </c>
      <c r="R94" s="14">
        <f>10000+2000-1460</f>
        <v>10540</v>
      </c>
      <c r="S94" s="14">
        <v>0</v>
      </c>
      <c r="T94" s="14">
        <v>23754</v>
      </c>
      <c r="U94" s="100"/>
      <c r="V94" s="15">
        <f t="shared" si="17"/>
        <v>100000</v>
      </c>
    </row>
    <row r="95" spans="1:22" ht="15" customHeight="1">
      <c r="A95" s="60"/>
      <c r="B95" s="67"/>
      <c r="C95" s="12"/>
      <c r="D95" s="12"/>
      <c r="E95" s="16"/>
      <c r="F95" s="16"/>
      <c r="G95" s="10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00"/>
      <c r="V95" s="15">
        <f t="shared" si="17"/>
        <v>0</v>
      </c>
    </row>
    <row r="96" spans="1:22" ht="96" customHeight="1">
      <c r="A96" s="62" t="s">
        <v>87</v>
      </c>
      <c r="B96" s="90" t="s">
        <v>113</v>
      </c>
      <c r="C96" s="37" t="s">
        <v>6</v>
      </c>
      <c r="D96" s="37">
        <v>5600000000</v>
      </c>
      <c r="E96" s="41"/>
      <c r="F96" s="41"/>
      <c r="G96" s="41"/>
      <c r="H96" s="13">
        <f aca="true" t="shared" si="20" ref="H96:T96">H97</f>
        <v>20000</v>
      </c>
      <c r="I96" s="13">
        <f t="shared" si="20"/>
        <v>0</v>
      </c>
      <c r="J96" s="13">
        <f t="shared" si="20"/>
        <v>0</v>
      </c>
      <c r="K96" s="13">
        <f t="shared" si="20"/>
        <v>0</v>
      </c>
      <c r="L96" s="13">
        <f t="shared" si="20"/>
        <v>0</v>
      </c>
      <c r="M96" s="13">
        <f t="shared" si="20"/>
        <v>0</v>
      </c>
      <c r="N96" s="13">
        <f t="shared" si="20"/>
        <v>0</v>
      </c>
      <c r="O96" s="13">
        <f t="shared" si="20"/>
        <v>0</v>
      </c>
      <c r="P96" s="13">
        <f t="shared" si="20"/>
        <v>0</v>
      </c>
      <c r="Q96" s="13">
        <f t="shared" si="20"/>
        <v>0</v>
      </c>
      <c r="R96" s="13">
        <f t="shared" si="20"/>
        <v>0</v>
      </c>
      <c r="S96" s="13">
        <f t="shared" si="20"/>
        <v>0</v>
      </c>
      <c r="T96" s="13">
        <f t="shared" si="20"/>
        <v>20000</v>
      </c>
      <c r="U96" s="101"/>
      <c r="V96" s="87">
        <f t="shared" si="17"/>
        <v>20000</v>
      </c>
    </row>
    <row r="97" spans="1:22" ht="33" customHeight="1">
      <c r="A97" s="56" t="s">
        <v>87</v>
      </c>
      <c r="B97" s="48" t="s">
        <v>157</v>
      </c>
      <c r="C97" s="10" t="s">
        <v>6</v>
      </c>
      <c r="D97" s="78" t="s">
        <v>142</v>
      </c>
      <c r="E97" s="10">
        <v>244</v>
      </c>
      <c r="F97" s="10">
        <v>290</v>
      </c>
      <c r="G97" s="10"/>
      <c r="H97" s="29">
        <v>20000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20000</v>
      </c>
      <c r="U97" s="100"/>
      <c r="V97" s="15">
        <f t="shared" si="17"/>
        <v>20000</v>
      </c>
    </row>
    <row r="98" spans="1:22" ht="15" customHeight="1">
      <c r="A98" s="56"/>
      <c r="B98" s="23"/>
      <c r="C98" s="10"/>
      <c r="D98" s="10"/>
      <c r="E98" s="10"/>
      <c r="F98" s="10"/>
      <c r="G98" s="10"/>
      <c r="H98" s="29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00"/>
      <c r="V98" s="15"/>
    </row>
    <row r="99" spans="1:22" s="85" customFormat="1" ht="142.5" customHeight="1">
      <c r="A99" s="62" t="s">
        <v>87</v>
      </c>
      <c r="B99" s="90" t="s">
        <v>192</v>
      </c>
      <c r="C99" s="37" t="s">
        <v>6</v>
      </c>
      <c r="D99" s="84" t="s">
        <v>148</v>
      </c>
      <c r="E99" s="37">
        <v>540</v>
      </c>
      <c r="F99" s="36"/>
      <c r="G99" s="37"/>
      <c r="H99" s="13">
        <v>31300</v>
      </c>
      <c r="I99" s="13">
        <v>0</v>
      </c>
      <c r="J99" s="13">
        <v>6375</v>
      </c>
      <c r="K99" s="13">
        <v>0</v>
      </c>
      <c r="L99" s="13">
        <f>6375+1900</f>
        <v>8275</v>
      </c>
      <c r="M99" s="13">
        <v>0</v>
      </c>
      <c r="N99" s="13">
        <v>0</v>
      </c>
      <c r="O99" s="13">
        <f>6375+8275</f>
        <v>14650</v>
      </c>
      <c r="P99" s="13">
        <v>0</v>
      </c>
      <c r="Q99" s="13">
        <v>0</v>
      </c>
      <c r="R99" s="13">
        <v>0</v>
      </c>
      <c r="S99" s="13">
        <v>0</v>
      </c>
      <c r="T99" s="13">
        <v>2000</v>
      </c>
      <c r="U99" s="101"/>
      <c r="V99" s="87">
        <f>SUM(I99:T99)</f>
        <v>31300</v>
      </c>
    </row>
    <row r="100" spans="1:22" s="85" customFormat="1" ht="15" customHeight="1">
      <c r="A100" s="116"/>
      <c r="B100" s="67"/>
      <c r="C100" s="31"/>
      <c r="D100" s="115"/>
      <c r="E100" s="31"/>
      <c r="F100" s="12"/>
      <c r="G100" s="31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101"/>
      <c r="V100" s="77"/>
    </row>
    <row r="101" spans="1:22" s="85" customFormat="1" ht="57.75" customHeight="1" hidden="1">
      <c r="A101" s="62" t="s">
        <v>87</v>
      </c>
      <c r="B101" s="90" t="s">
        <v>204</v>
      </c>
      <c r="C101" s="37" t="s">
        <v>6</v>
      </c>
      <c r="D101" s="84" t="s">
        <v>199</v>
      </c>
      <c r="E101" s="37">
        <v>853</v>
      </c>
      <c r="F101" s="36"/>
      <c r="G101" s="37"/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01"/>
      <c r="V101" s="87">
        <f>I101+J101+K101+L101+M101+N101+O101+P101+Q101+R101+S101+T101</f>
        <v>0</v>
      </c>
    </row>
    <row r="102" spans="1:22" ht="12.75">
      <c r="A102" s="56"/>
      <c r="B102" s="23"/>
      <c r="C102" s="16"/>
      <c r="D102" s="16"/>
      <c r="E102" s="16"/>
      <c r="F102" s="16"/>
      <c r="G102" s="10"/>
      <c r="H102" s="29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00"/>
      <c r="V102" s="15"/>
    </row>
    <row r="103" spans="1:22" ht="12.75">
      <c r="A103" s="56"/>
      <c r="B103" s="25" t="s">
        <v>45</v>
      </c>
      <c r="C103" s="25" t="s">
        <v>6</v>
      </c>
      <c r="D103" s="16"/>
      <c r="E103" s="16"/>
      <c r="F103" s="16"/>
      <c r="G103" s="10"/>
      <c r="H103" s="30">
        <f aca="true" t="shared" si="21" ref="H103:T103">H96+H93+H84+H71+H46+H44+H99+H101</f>
        <v>15496154</v>
      </c>
      <c r="I103" s="30">
        <f t="shared" si="21"/>
        <v>774946.3</v>
      </c>
      <c r="J103" s="30">
        <f t="shared" si="21"/>
        <v>1086807</v>
      </c>
      <c r="K103" s="30">
        <f t="shared" si="21"/>
        <v>1137314.43</v>
      </c>
      <c r="L103" s="30">
        <f t="shared" si="21"/>
        <v>1367273.7</v>
      </c>
      <c r="M103" s="30">
        <f t="shared" si="21"/>
        <v>1164392.37</v>
      </c>
      <c r="N103" s="30">
        <f t="shared" si="21"/>
        <v>1429371</v>
      </c>
      <c r="O103" s="30">
        <f t="shared" si="21"/>
        <v>1193633</v>
      </c>
      <c r="P103" s="30">
        <f t="shared" si="21"/>
        <v>1263330.77</v>
      </c>
      <c r="Q103" s="30">
        <f t="shared" si="21"/>
        <v>1295889.35</v>
      </c>
      <c r="R103" s="30">
        <f t="shared" si="21"/>
        <v>1453524.92</v>
      </c>
      <c r="S103" s="30">
        <f t="shared" si="21"/>
        <v>1341963.9500000002</v>
      </c>
      <c r="T103" s="30">
        <f t="shared" si="21"/>
        <v>1992707.2100000002</v>
      </c>
      <c r="U103" s="97"/>
      <c r="V103" s="97">
        <f>V96+V93+V84+V71+V46+V99+V101</f>
        <v>15501154</v>
      </c>
    </row>
    <row r="104" spans="1:22" ht="12.75">
      <c r="A104" s="56"/>
      <c r="B104" s="25"/>
      <c r="C104" s="25"/>
      <c r="D104" s="16"/>
      <c r="E104" s="16"/>
      <c r="F104" s="16"/>
      <c r="G104" s="1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97"/>
      <c r="V104" s="97"/>
    </row>
    <row r="105" spans="1:22" ht="26.25" customHeight="1">
      <c r="A105" s="66"/>
      <c r="B105" s="92" t="s">
        <v>54</v>
      </c>
      <c r="C105" s="68"/>
      <c r="D105" s="68"/>
      <c r="E105" s="68"/>
      <c r="F105" s="68"/>
      <c r="G105" s="92"/>
      <c r="H105" s="42">
        <f aca="true" t="shared" si="22" ref="H105:T105">H103+H43+H39+H34+H12</f>
        <v>25466119</v>
      </c>
      <c r="I105" s="42">
        <f t="shared" si="22"/>
        <v>1122810.6500000001</v>
      </c>
      <c r="J105" s="42">
        <f t="shared" si="22"/>
        <v>1842579.78</v>
      </c>
      <c r="K105" s="42">
        <f t="shared" si="22"/>
        <v>1892027.96</v>
      </c>
      <c r="L105" s="42">
        <f t="shared" si="22"/>
        <v>2104828.9099999997</v>
      </c>
      <c r="M105" s="42">
        <f t="shared" si="22"/>
        <v>1839163.6300000001</v>
      </c>
      <c r="N105" s="42">
        <f t="shared" si="22"/>
        <v>2137209.03</v>
      </c>
      <c r="O105" s="42">
        <f t="shared" si="22"/>
        <v>2200515.9499999997</v>
      </c>
      <c r="P105" s="42">
        <f t="shared" si="22"/>
        <v>1938665.7100000002</v>
      </c>
      <c r="Q105" s="42">
        <f t="shared" si="22"/>
        <v>2185205.74</v>
      </c>
      <c r="R105" s="42">
        <f t="shared" si="22"/>
        <v>2336005.4099999997</v>
      </c>
      <c r="S105" s="42">
        <f t="shared" si="22"/>
        <v>2322554.4000000004</v>
      </c>
      <c r="T105" s="42">
        <f t="shared" si="22"/>
        <v>3549551.8300000005</v>
      </c>
      <c r="U105" s="54"/>
      <c r="V105" s="98">
        <f>V103+V43+V39+V34+V12</f>
        <v>25471119</v>
      </c>
    </row>
    <row r="106" spans="1:22" ht="12.75">
      <c r="A106" s="60"/>
      <c r="B106" s="43"/>
      <c r="C106" s="12"/>
      <c r="D106" s="12"/>
      <c r="E106" s="12"/>
      <c r="F106" s="12"/>
      <c r="G106" s="4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103"/>
      <c r="V106" s="15"/>
    </row>
    <row r="107" spans="1:22" ht="51.75" customHeight="1">
      <c r="A107" s="62" t="s">
        <v>87</v>
      </c>
      <c r="B107" s="90" t="s">
        <v>55</v>
      </c>
      <c r="C107" s="37" t="s">
        <v>18</v>
      </c>
      <c r="D107" s="37">
        <v>8600000000</v>
      </c>
      <c r="E107" s="36"/>
      <c r="F107" s="36"/>
      <c r="G107" s="31"/>
      <c r="H107" s="13">
        <f aca="true" t="shared" si="23" ref="H107:T107">H108+H109</f>
        <v>593100</v>
      </c>
      <c r="I107" s="13">
        <f t="shared" si="23"/>
        <v>11052.32</v>
      </c>
      <c r="J107" s="13">
        <f t="shared" si="23"/>
        <v>41547.68</v>
      </c>
      <c r="K107" s="13">
        <f t="shared" si="23"/>
        <v>65630</v>
      </c>
      <c r="L107" s="13">
        <f t="shared" si="23"/>
        <v>43500</v>
      </c>
      <c r="M107" s="13">
        <f t="shared" si="23"/>
        <v>39700</v>
      </c>
      <c r="N107" s="13">
        <f t="shared" si="23"/>
        <v>70100</v>
      </c>
      <c r="O107" s="13">
        <f t="shared" si="23"/>
        <v>43500</v>
      </c>
      <c r="P107" s="13">
        <f t="shared" si="23"/>
        <v>47000</v>
      </c>
      <c r="Q107" s="13">
        <f t="shared" si="23"/>
        <v>68000</v>
      </c>
      <c r="R107" s="13">
        <f t="shared" si="23"/>
        <v>45500</v>
      </c>
      <c r="S107" s="13">
        <f t="shared" si="23"/>
        <v>36100</v>
      </c>
      <c r="T107" s="13">
        <f t="shared" si="23"/>
        <v>81470</v>
      </c>
      <c r="U107" s="101"/>
      <c r="V107" s="87">
        <f aca="true" t="shared" si="24" ref="V107:V126">SUM(I107:T107)</f>
        <v>593100</v>
      </c>
    </row>
    <row r="108" spans="1:22" ht="51" customHeight="1">
      <c r="A108" s="56" t="s">
        <v>87</v>
      </c>
      <c r="B108" s="48" t="s">
        <v>155</v>
      </c>
      <c r="C108" s="10" t="s">
        <v>18</v>
      </c>
      <c r="D108" s="78" t="s">
        <v>143</v>
      </c>
      <c r="E108" s="10">
        <v>121</v>
      </c>
      <c r="F108" s="10">
        <v>211</v>
      </c>
      <c r="G108" s="10" t="s">
        <v>56</v>
      </c>
      <c r="H108" s="24">
        <v>455530</v>
      </c>
      <c r="I108" s="14">
        <f>14100-3047.68</f>
        <v>11052.32</v>
      </c>
      <c r="J108" s="14">
        <f>28500+3047.68</f>
        <v>31547.68</v>
      </c>
      <c r="K108" s="14">
        <v>47130</v>
      </c>
      <c r="L108" s="14">
        <v>34000</v>
      </c>
      <c r="M108" s="14">
        <v>30200</v>
      </c>
      <c r="N108" s="14">
        <v>49800</v>
      </c>
      <c r="O108" s="14">
        <v>36500</v>
      </c>
      <c r="P108" s="14">
        <v>37500</v>
      </c>
      <c r="Q108" s="14">
        <v>50000</v>
      </c>
      <c r="R108" s="14">
        <v>36500</v>
      </c>
      <c r="S108" s="14">
        <v>30800</v>
      </c>
      <c r="T108" s="14">
        <v>60500</v>
      </c>
      <c r="U108" s="100"/>
      <c r="V108" s="15">
        <f t="shared" si="24"/>
        <v>455530</v>
      </c>
    </row>
    <row r="109" spans="1:22" ht="92.25" customHeight="1">
      <c r="A109" s="56" t="s">
        <v>87</v>
      </c>
      <c r="B109" s="48" t="s">
        <v>156</v>
      </c>
      <c r="C109" s="10" t="s">
        <v>18</v>
      </c>
      <c r="D109" s="78" t="s">
        <v>143</v>
      </c>
      <c r="E109" s="10">
        <v>129</v>
      </c>
      <c r="F109" s="10">
        <v>211</v>
      </c>
      <c r="G109" s="63" t="s">
        <v>57</v>
      </c>
      <c r="H109" s="24">
        <v>137570</v>
      </c>
      <c r="I109" s="14">
        <v>0</v>
      </c>
      <c r="J109" s="14">
        <v>10000</v>
      </c>
      <c r="K109" s="14">
        <v>18500</v>
      </c>
      <c r="L109" s="14">
        <v>9500</v>
      </c>
      <c r="M109" s="14">
        <v>9500</v>
      </c>
      <c r="N109" s="14">
        <v>20300</v>
      </c>
      <c r="O109" s="14">
        <v>7000</v>
      </c>
      <c r="P109" s="14">
        <v>9500</v>
      </c>
      <c r="Q109" s="14">
        <v>18000</v>
      </c>
      <c r="R109" s="14">
        <v>9000</v>
      </c>
      <c r="S109" s="14">
        <v>5300</v>
      </c>
      <c r="T109" s="14">
        <v>20970</v>
      </c>
      <c r="U109" s="100"/>
      <c r="V109" s="15">
        <f t="shared" si="24"/>
        <v>137570</v>
      </c>
    </row>
    <row r="110" spans="1:22" ht="12.75">
      <c r="A110" s="60"/>
      <c r="B110" s="31"/>
      <c r="C110" s="16"/>
      <c r="D110" s="16"/>
      <c r="E110" s="16"/>
      <c r="F110" s="16"/>
      <c r="G110" s="10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00"/>
      <c r="V110" s="15">
        <f t="shared" si="24"/>
        <v>0</v>
      </c>
    </row>
    <row r="111" spans="1:22" s="3" customFormat="1" ht="12.75">
      <c r="A111" s="60"/>
      <c r="B111" s="61" t="s">
        <v>45</v>
      </c>
      <c r="C111" s="61" t="s">
        <v>18</v>
      </c>
      <c r="D111" s="16"/>
      <c r="E111" s="16"/>
      <c r="F111" s="16"/>
      <c r="G111" s="10"/>
      <c r="H111" s="30">
        <f aca="true" t="shared" si="25" ref="H111:T111">H107</f>
        <v>593100</v>
      </c>
      <c r="I111" s="30">
        <f t="shared" si="25"/>
        <v>11052.32</v>
      </c>
      <c r="J111" s="30">
        <f t="shared" si="25"/>
        <v>41547.68</v>
      </c>
      <c r="K111" s="30">
        <f t="shared" si="25"/>
        <v>65630</v>
      </c>
      <c r="L111" s="30">
        <f t="shared" si="25"/>
        <v>43500</v>
      </c>
      <c r="M111" s="30">
        <f t="shared" si="25"/>
        <v>39700</v>
      </c>
      <c r="N111" s="30">
        <f t="shared" si="25"/>
        <v>70100</v>
      </c>
      <c r="O111" s="30">
        <f t="shared" si="25"/>
        <v>43500</v>
      </c>
      <c r="P111" s="30">
        <f t="shared" si="25"/>
        <v>47000</v>
      </c>
      <c r="Q111" s="30">
        <f t="shared" si="25"/>
        <v>68000</v>
      </c>
      <c r="R111" s="30">
        <f t="shared" si="25"/>
        <v>45500</v>
      </c>
      <c r="S111" s="30">
        <f t="shared" si="25"/>
        <v>36100</v>
      </c>
      <c r="T111" s="30">
        <f t="shared" si="25"/>
        <v>81470</v>
      </c>
      <c r="U111" s="102"/>
      <c r="V111" s="86">
        <f t="shared" si="24"/>
        <v>593100</v>
      </c>
    </row>
    <row r="112" spans="1:22" ht="12.75">
      <c r="A112" s="60"/>
      <c r="B112" s="31"/>
      <c r="C112" s="16"/>
      <c r="D112" s="16"/>
      <c r="E112" s="16"/>
      <c r="F112" s="16"/>
      <c r="G112" s="10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00"/>
      <c r="V112" s="15">
        <f t="shared" si="24"/>
        <v>0</v>
      </c>
    </row>
    <row r="113" spans="1:22" ht="12.75">
      <c r="A113" s="66"/>
      <c r="B113" s="92" t="s">
        <v>58</v>
      </c>
      <c r="C113" s="44"/>
      <c r="D113" s="44"/>
      <c r="E113" s="44"/>
      <c r="F113" s="44"/>
      <c r="G113" s="45"/>
      <c r="H113" s="42">
        <f aca="true" t="shared" si="26" ref="H113:T113">H111</f>
        <v>593100</v>
      </c>
      <c r="I113" s="42">
        <f t="shared" si="26"/>
        <v>11052.32</v>
      </c>
      <c r="J113" s="42">
        <f t="shared" si="26"/>
        <v>41547.68</v>
      </c>
      <c r="K113" s="42">
        <f t="shared" si="26"/>
        <v>65630</v>
      </c>
      <c r="L113" s="42">
        <f t="shared" si="26"/>
        <v>43500</v>
      </c>
      <c r="M113" s="42">
        <f t="shared" si="26"/>
        <v>39700</v>
      </c>
      <c r="N113" s="42">
        <f t="shared" si="26"/>
        <v>70100</v>
      </c>
      <c r="O113" s="42">
        <f t="shared" si="26"/>
        <v>43500</v>
      </c>
      <c r="P113" s="42">
        <f t="shared" si="26"/>
        <v>47000</v>
      </c>
      <c r="Q113" s="42">
        <f t="shared" si="26"/>
        <v>68000</v>
      </c>
      <c r="R113" s="42">
        <f t="shared" si="26"/>
        <v>45500</v>
      </c>
      <c r="S113" s="42">
        <f t="shared" si="26"/>
        <v>36100</v>
      </c>
      <c r="T113" s="42">
        <f t="shared" si="26"/>
        <v>81470</v>
      </c>
      <c r="U113" s="104"/>
      <c r="V113" s="46">
        <f t="shared" si="24"/>
        <v>593100</v>
      </c>
    </row>
    <row r="114" spans="1:22" ht="12.75">
      <c r="A114" s="60"/>
      <c r="B114" s="43"/>
      <c r="C114" s="16"/>
      <c r="D114" s="16"/>
      <c r="E114" s="16"/>
      <c r="F114" s="16"/>
      <c r="G114" s="10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00"/>
      <c r="V114" s="15">
        <f t="shared" si="24"/>
        <v>0</v>
      </c>
    </row>
    <row r="115" spans="1:22" ht="79.5" customHeight="1">
      <c r="A115" s="62" t="s">
        <v>87</v>
      </c>
      <c r="B115" s="90" t="s">
        <v>114</v>
      </c>
      <c r="C115" s="37"/>
      <c r="D115" s="37">
        <v>5700000000</v>
      </c>
      <c r="E115" s="36"/>
      <c r="F115" s="36"/>
      <c r="G115" s="37"/>
      <c r="H115" s="13">
        <f aca="true" t="shared" si="27" ref="H115:T115">H117+H122+H125</f>
        <v>290900</v>
      </c>
      <c r="I115" s="13">
        <f t="shared" si="27"/>
        <v>0</v>
      </c>
      <c r="J115" s="13">
        <f t="shared" si="27"/>
        <v>0</v>
      </c>
      <c r="K115" s="13">
        <f t="shared" si="27"/>
        <v>20400</v>
      </c>
      <c r="L115" s="13">
        <f t="shared" si="27"/>
        <v>8874</v>
      </c>
      <c r="M115" s="13">
        <f t="shared" si="27"/>
        <v>70026</v>
      </c>
      <c r="N115" s="13">
        <f t="shared" si="27"/>
        <v>10200</v>
      </c>
      <c r="O115" s="13">
        <f t="shared" si="27"/>
        <v>10200</v>
      </c>
      <c r="P115" s="13">
        <f t="shared" si="27"/>
        <v>10200</v>
      </c>
      <c r="Q115" s="13">
        <f t="shared" si="27"/>
        <v>60200</v>
      </c>
      <c r="R115" s="13">
        <f t="shared" si="27"/>
        <v>8874</v>
      </c>
      <c r="S115" s="13">
        <f t="shared" si="27"/>
        <v>11526</v>
      </c>
      <c r="T115" s="13">
        <f t="shared" si="27"/>
        <v>80400</v>
      </c>
      <c r="U115" s="101"/>
      <c r="V115" s="87">
        <f t="shared" si="24"/>
        <v>290900</v>
      </c>
    </row>
    <row r="116" spans="1:22" ht="12.75">
      <c r="A116" s="60"/>
      <c r="B116" s="43"/>
      <c r="C116" s="16"/>
      <c r="D116" s="16"/>
      <c r="E116" s="16"/>
      <c r="F116" s="16"/>
      <c r="G116" s="10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00"/>
      <c r="V116" s="15">
        <f t="shared" si="24"/>
        <v>0</v>
      </c>
    </row>
    <row r="117" spans="1:22" s="3" customFormat="1" ht="95.25" customHeight="1">
      <c r="A117" s="62" t="s">
        <v>87</v>
      </c>
      <c r="B117" s="90" t="s">
        <v>144</v>
      </c>
      <c r="C117" s="41" t="s">
        <v>115</v>
      </c>
      <c r="D117" s="37">
        <v>5710000000</v>
      </c>
      <c r="E117" s="37"/>
      <c r="F117" s="37"/>
      <c r="G117" s="37"/>
      <c r="H117" s="13">
        <f aca="true" t="shared" si="28" ref="H117:T117">H118</f>
        <v>10000</v>
      </c>
      <c r="I117" s="13">
        <f t="shared" si="28"/>
        <v>0</v>
      </c>
      <c r="J117" s="13">
        <f t="shared" si="28"/>
        <v>0</v>
      </c>
      <c r="K117" s="13">
        <f t="shared" si="28"/>
        <v>0</v>
      </c>
      <c r="L117" s="13">
        <f t="shared" si="28"/>
        <v>0</v>
      </c>
      <c r="M117" s="13">
        <f t="shared" si="28"/>
        <v>0</v>
      </c>
      <c r="N117" s="13">
        <f t="shared" si="28"/>
        <v>0</v>
      </c>
      <c r="O117" s="13">
        <f t="shared" si="28"/>
        <v>0</v>
      </c>
      <c r="P117" s="13">
        <f t="shared" si="28"/>
        <v>0</v>
      </c>
      <c r="Q117" s="13">
        <f t="shared" si="28"/>
        <v>0</v>
      </c>
      <c r="R117" s="13">
        <f t="shared" si="28"/>
        <v>0</v>
      </c>
      <c r="S117" s="13">
        <f t="shared" si="28"/>
        <v>0</v>
      </c>
      <c r="T117" s="13">
        <f t="shared" si="28"/>
        <v>10000</v>
      </c>
      <c r="U117" s="101"/>
      <c r="V117" s="87">
        <f t="shared" si="24"/>
        <v>10000</v>
      </c>
    </row>
    <row r="118" spans="1:22" ht="25.5">
      <c r="A118" s="60" t="s">
        <v>87</v>
      </c>
      <c r="B118" s="48" t="s">
        <v>157</v>
      </c>
      <c r="C118" s="10" t="s">
        <v>115</v>
      </c>
      <c r="D118" s="10">
        <v>5710110080</v>
      </c>
      <c r="E118" s="10">
        <v>244</v>
      </c>
      <c r="F118" s="10">
        <v>226</v>
      </c>
      <c r="G118" s="10"/>
      <c r="H118" s="14">
        <v>10000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10000</v>
      </c>
      <c r="U118" s="100"/>
      <c r="V118" s="15">
        <f t="shared" si="24"/>
        <v>10000</v>
      </c>
    </row>
    <row r="119" spans="1:22" ht="12.75">
      <c r="A119" s="60"/>
      <c r="B119" s="43"/>
      <c r="C119" s="16"/>
      <c r="D119" s="16"/>
      <c r="E119" s="16"/>
      <c r="F119" s="16"/>
      <c r="G119" s="10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00"/>
      <c r="V119" s="15">
        <f t="shared" si="24"/>
        <v>0</v>
      </c>
    </row>
    <row r="120" spans="1:22" ht="12.75">
      <c r="A120" s="60"/>
      <c r="B120" s="25" t="s">
        <v>45</v>
      </c>
      <c r="C120" s="25" t="s">
        <v>115</v>
      </c>
      <c r="D120" s="16"/>
      <c r="E120" s="16"/>
      <c r="F120" s="16"/>
      <c r="G120" s="10"/>
      <c r="H120" s="30">
        <f aca="true" t="shared" si="29" ref="H120:T120">H117</f>
        <v>10000</v>
      </c>
      <c r="I120" s="30">
        <f t="shared" si="29"/>
        <v>0</v>
      </c>
      <c r="J120" s="30">
        <f t="shared" si="29"/>
        <v>0</v>
      </c>
      <c r="K120" s="30">
        <f t="shared" si="29"/>
        <v>0</v>
      </c>
      <c r="L120" s="30">
        <f t="shared" si="29"/>
        <v>0</v>
      </c>
      <c r="M120" s="30">
        <f t="shared" si="29"/>
        <v>0</v>
      </c>
      <c r="N120" s="30">
        <f t="shared" si="29"/>
        <v>0</v>
      </c>
      <c r="O120" s="30">
        <f t="shared" si="29"/>
        <v>0</v>
      </c>
      <c r="P120" s="30">
        <f t="shared" si="29"/>
        <v>0</v>
      </c>
      <c r="Q120" s="30">
        <f t="shared" si="29"/>
        <v>0</v>
      </c>
      <c r="R120" s="30">
        <f t="shared" si="29"/>
        <v>0</v>
      </c>
      <c r="S120" s="30">
        <f t="shared" si="29"/>
        <v>0</v>
      </c>
      <c r="T120" s="30">
        <f t="shared" si="29"/>
        <v>10000</v>
      </c>
      <c r="U120" s="102"/>
      <c r="V120" s="47">
        <f t="shared" si="24"/>
        <v>10000</v>
      </c>
    </row>
    <row r="121" spans="1:22" ht="12.75">
      <c r="A121" s="60"/>
      <c r="B121" s="43"/>
      <c r="C121" s="16"/>
      <c r="D121" s="16"/>
      <c r="E121" s="16"/>
      <c r="F121" s="16"/>
      <c r="G121" s="10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00"/>
      <c r="V121" s="15">
        <f t="shared" si="24"/>
        <v>0</v>
      </c>
    </row>
    <row r="122" spans="1:22" s="3" customFormat="1" ht="81" customHeight="1">
      <c r="A122" s="62" t="s">
        <v>87</v>
      </c>
      <c r="B122" s="90" t="s">
        <v>116</v>
      </c>
      <c r="C122" s="37" t="s">
        <v>19</v>
      </c>
      <c r="D122" s="37">
        <v>5720000000</v>
      </c>
      <c r="E122" s="37"/>
      <c r="F122" s="37"/>
      <c r="G122" s="37"/>
      <c r="H122" s="13">
        <f aca="true" t="shared" si="30" ref="H122:T122">H123+H124</f>
        <v>158500</v>
      </c>
      <c r="I122" s="13">
        <f t="shared" si="30"/>
        <v>0</v>
      </c>
      <c r="J122" s="13">
        <f t="shared" si="30"/>
        <v>0</v>
      </c>
      <c r="K122" s="13">
        <f t="shared" si="30"/>
        <v>0</v>
      </c>
      <c r="L122" s="13">
        <f t="shared" si="30"/>
        <v>0</v>
      </c>
      <c r="M122" s="13">
        <f t="shared" si="30"/>
        <v>58500</v>
      </c>
      <c r="N122" s="13">
        <f t="shared" si="30"/>
        <v>0</v>
      </c>
      <c r="O122" s="13">
        <f t="shared" si="30"/>
        <v>0</v>
      </c>
      <c r="P122" s="13">
        <f t="shared" si="30"/>
        <v>0</v>
      </c>
      <c r="Q122" s="13">
        <f t="shared" si="30"/>
        <v>50000</v>
      </c>
      <c r="R122" s="13">
        <f t="shared" si="30"/>
        <v>0</v>
      </c>
      <c r="S122" s="13">
        <f t="shared" si="30"/>
        <v>0</v>
      </c>
      <c r="T122" s="13">
        <f t="shared" si="30"/>
        <v>50000</v>
      </c>
      <c r="U122" s="101"/>
      <c r="V122" s="87">
        <f t="shared" si="24"/>
        <v>158500</v>
      </c>
    </row>
    <row r="123" spans="1:22" ht="25.5" hidden="1">
      <c r="A123" s="56" t="s">
        <v>87</v>
      </c>
      <c r="B123" s="48" t="s">
        <v>157</v>
      </c>
      <c r="C123" s="10" t="s">
        <v>19</v>
      </c>
      <c r="D123" s="10">
        <v>5720110090</v>
      </c>
      <c r="E123" s="10">
        <v>244</v>
      </c>
      <c r="F123" s="10">
        <v>226</v>
      </c>
      <c r="G123" s="10"/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00"/>
      <c r="V123" s="15">
        <f t="shared" si="24"/>
        <v>0</v>
      </c>
    </row>
    <row r="124" spans="1:22" ht="38.25">
      <c r="A124" s="60" t="s">
        <v>87</v>
      </c>
      <c r="B124" s="48" t="s">
        <v>158</v>
      </c>
      <c r="C124" s="10" t="s">
        <v>19</v>
      </c>
      <c r="D124" s="10">
        <v>5720110090</v>
      </c>
      <c r="E124" s="10">
        <v>244</v>
      </c>
      <c r="F124" s="10">
        <v>340</v>
      </c>
      <c r="G124" s="10"/>
      <c r="H124" s="14">
        <v>158500</v>
      </c>
      <c r="I124" s="14">
        <v>0</v>
      </c>
      <c r="J124" s="14">
        <v>0</v>
      </c>
      <c r="K124" s="14">
        <v>0</v>
      </c>
      <c r="L124" s="14">
        <v>0</v>
      </c>
      <c r="M124" s="14">
        <v>58500</v>
      </c>
      <c r="N124" s="14">
        <v>0</v>
      </c>
      <c r="O124" s="14">
        <v>0</v>
      </c>
      <c r="P124" s="14">
        <v>0</v>
      </c>
      <c r="Q124" s="14">
        <v>50000</v>
      </c>
      <c r="R124" s="14">
        <v>0</v>
      </c>
      <c r="S124" s="14">
        <v>0</v>
      </c>
      <c r="T124" s="14">
        <v>50000</v>
      </c>
      <c r="U124" s="100"/>
      <c r="V124" s="15">
        <f t="shared" si="24"/>
        <v>158500</v>
      </c>
    </row>
    <row r="125" spans="1:22" s="3" customFormat="1" ht="92.25" customHeight="1">
      <c r="A125" s="62" t="s">
        <v>87</v>
      </c>
      <c r="B125" s="90" t="s">
        <v>117</v>
      </c>
      <c r="C125" s="37" t="s">
        <v>19</v>
      </c>
      <c r="D125" s="37">
        <v>5730000000</v>
      </c>
      <c r="E125" s="37"/>
      <c r="F125" s="37"/>
      <c r="G125" s="13"/>
      <c r="H125" s="13">
        <f aca="true" t="shared" si="31" ref="H125:T125">H126</f>
        <v>122400</v>
      </c>
      <c r="I125" s="13">
        <f t="shared" si="31"/>
        <v>0</v>
      </c>
      <c r="J125" s="13">
        <f t="shared" si="31"/>
        <v>0</v>
      </c>
      <c r="K125" s="13">
        <f t="shared" si="31"/>
        <v>20400</v>
      </c>
      <c r="L125" s="13">
        <f t="shared" si="31"/>
        <v>8874</v>
      </c>
      <c r="M125" s="13">
        <f t="shared" si="31"/>
        <v>11526</v>
      </c>
      <c r="N125" s="13">
        <f t="shared" si="31"/>
        <v>10200</v>
      </c>
      <c r="O125" s="13">
        <f t="shared" si="31"/>
        <v>10200</v>
      </c>
      <c r="P125" s="13">
        <f t="shared" si="31"/>
        <v>10200</v>
      </c>
      <c r="Q125" s="13">
        <f t="shared" si="31"/>
        <v>10200</v>
      </c>
      <c r="R125" s="13">
        <f t="shared" si="31"/>
        <v>8874</v>
      </c>
      <c r="S125" s="13">
        <f t="shared" si="31"/>
        <v>11526</v>
      </c>
      <c r="T125" s="13">
        <f t="shared" si="31"/>
        <v>20400</v>
      </c>
      <c r="U125" s="101"/>
      <c r="V125" s="87">
        <f t="shared" si="24"/>
        <v>122400</v>
      </c>
    </row>
    <row r="126" spans="1:22" ht="101.25" customHeight="1">
      <c r="A126" s="56" t="s">
        <v>87</v>
      </c>
      <c r="B126" s="48" t="s">
        <v>174</v>
      </c>
      <c r="C126" s="10" t="s">
        <v>19</v>
      </c>
      <c r="D126" s="10">
        <v>5730110100</v>
      </c>
      <c r="E126" s="10">
        <v>123</v>
      </c>
      <c r="F126" s="10">
        <v>296</v>
      </c>
      <c r="G126" s="14"/>
      <c r="H126" s="14">
        <v>122400</v>
      </c>
      <c r="I126" s="14">
        <v>0</v>
      </c>
      <c r="J126" s="14">
        <v>0</v>
      </c>
      <c r="K126" s="14">
        <v>20400</v>
      </c>
      <c r="L126" s="14">
        <f>30600-20400-1326</f>
        <v>8874</v>
      </c>
      <c r="M126" s="14">
        <f>1326+10200</f>
        <v>11526</v>
      </c>
      <c r="N126" s="14">
        <f>30600-20400</f>
        <v>10200</v>
      </c>
      <c r="O126" s="14">
        <v>10200</v>
      </c>
      <c r="P126" s="14">
        <v>10200</v>
      </c>
      <c r="Q126" s="14">
        <v>10200</v>
      </c>
      <c r="R126" s="14">
        <f>30600-10200-11526</f>
        <v>8874</v>
      </c>
      <c r="S126" s="14">
        <f>20400-10200+11526-10200</f>
        <v>11526</v>
      </c>
      <c r="T126" s="14">
        <f>30600-10200-10200+10200</f>
        <v>20400</v>
      </c>
      <c r="U126" s="100"/>
      <c r="V126" s="15">
        <f t="shared" si="24"/>
        <v>122400</v>
      </c>
    </row>
    <row r="127" spans="1:22" ht="12.75">
      <c r="A127" s="56"/>
      <c r="B127" s="48"/>
      <c r="C127" s="10"/>
      <c r="D127" s="10"/>
      <c r="E127" s="10"/>
      <c r="F127" s="10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00"/>
      <c r="V127" s="15"/>
    </row>
    <row r="128" spans="1:22" ht="12.75">
      <c r="A128" s="56"/>
      <c r="B128" s="25" t="s">
        <v>45</v>
      </c>
      <c r="C128" s="61" t="s">
        <v>19</v>
      </c>
      <c r="D128" s="61"/>
      <c r="E128" s="61"/>
      <c r="F128" s="61"/>
      <c r="G128" s="30"/>
      <c r="H128" s="30">
        <f aca="true" t="shared" si="32" ref="H128:T128">H122+H125</f>
        <v>280900</v>
      </c>
      <c r="I128" s="30">
        <f t="shared" si="32"/>
        <v>0</v>
      </c>
      <c r="J128" s="30">
        <f t="shared" si="32"/>
        <v>0</v>
      </c>
      <c r="K128" s="30">
        <f t="shared" si="32"/>
        <v>20400</v>
      </c>
      <c r="L128" s="30">
        <f t="shared" si="32"/>
        <v>8874</v>
      </c>
      <c r="M128" s="30">
        <f t="shared" si="32"/>
        <v>70026</v>
      </c>
      <c r="N128" s="30">
        <f t="shared" si="32"/>
        <v>10200</v>
      </c>
      <c r="O128" s="30">
        <f t="shared" si="32"/>
        <v>10200</v>
      </c>
      <c r="P128" s="30">
        <f t="shared" si="32"/>
        <v>10200</v>
      </c>
      <c r="Q128" s="30">
        <f t="shared" si="32"/>
        <v>60200</v>
      </c>
      <c r="R128" s="30">
        <f t="shared" si="32"/>
        <v>8874</v>
      </c>
      <c r="S128" s="30">
        <f t="shared" si="32"/>
        <v>11526</v>
      </c>
      <c r="T128" s="30">
        <f t="shared" si="32"/>
        <v>70400</v>
      </c>
      <c r="U128" s="102"/>
      <c r="V128" s="86">
        <f>SUM(I128:T128)</f>
        <v>280900</v>
      </c>
    </row>
    <row r="129" spans="1:22" ht="12.75">
      <c r="A129" s="56"/>
      <c r="B129" s="23"/>
      <c r="C129" s="16"/>
      <c r="D129" s="16"/>
      <c r="E129" s="16"/>
      <c r="F129" s="16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00"/>
      <c r="V129" s="15">
        <f>SUM(I129:T129)</f>
        <v>0</v>
      </c>
    </row>
    <row r="130" spans="1:22" ht="12.75">
      <c r="A130" s="66"/>
      <c r="B130" s="92" t="s">
        <v>59</v>
      </c>
      <c r="C130" s="44"/>
      <c r="D130" s="44"/>
      <c r="E130" s="44"/>
      <c r="F130" s="44"/>
      <c r="G130" s="49"/>
      <c r="H130" s="42">
        <f aca="true" t="shared" si="33" ref="H130:T130">H120+H128</f>
        <v>290900</v>
      </c>
      <c r="I130" s="42">
        <f t="shared" si="33"/>
        <v>0</v>
      </c>
      <c r="J130" s="42">
        <f t="shared" si="33"/>
        <v>0</v>
      </c>
      <c r="K130" s="42">
        <f t="shared" si="33"/>
        <v>20400</v>
      </c>
      <c r="L130" s="42">
        <f t="shared" si="33"/>
        <v>8874</v>
      </c>
      <c r="M130" s="42">
        <f t="shared" si="33"/>
        <v>70026</v>
      </c>
      <c r="N130" s="42">
        <f t="shared" si="33"/>
        <v>10200</v>
      </c>
      <c r="O130" s="42">
        <f t="shared" si="33"/>
        <v>10200</v>
      </c>
      <c r="P130" s="42">
        <f t="shared" si="33"/>
        <v>10200</v>
      </c>
      <c r="Q130" s="42">
        <f t="shared" si="33"/>
        <v>60200</v>
      </c>
      <c r="R130" s="42">
        <f t="shared" si="33"/>
        <v>8874</v>
      </c>
      <c r="S130" s="42">
        <f t="shared" si="33"/>
        <v>11526</v>
      </c>
      <c r="T130" s="42">
        <f t="shared" si="33"/>
        <v>80400</v>
      </c>
      <c r="U130" s="104"/>
      <c r="V130" s="50">
        <f>SUM(I130:T130)</f>
        <v>290900</v>
      </c>
    </row>
    <row r="131" spans="1:22" ht="12.75">
      <c r="A131" s="56"/>
      <c r="B131" s="23"/>
      <c r="C131" s="16"/>
      <c r="D131" s="16"/>
      <c r="E131" s="16"/>
      <c r="F131" s="16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00"/>
      <c r="V131" s="15">
        <f>SUM(I131:T131)</f>
        <v>0</v>
      </c>
    </row>
    <row r="132" spans="1:22" ht="89.25">
      <c r="A132" s="62" t="s">
        <v>87</v>
      </c>
      <c r="B132" s="90" t="s">
        <v>119</v>
      </c>
      <c r="C132" s="37" t="s">
        <v>42</v>
      </c>
      <c r="D132" s="37">
        <v>5800000000</v>
      </c>
      <c r="E132" s="36"/>
      <c r="F132" s="36"/>
      <c r="G132" s="37"/>
      <c r="H132" s="13">
        <f aca="true" t="shared" si="34" ref="H132:T132">H134+H137</f>
        <v>19924574.310000002</v>
      </c>
      <c r="I132" s="13">
        <f t="shared" si="34"/>
        <v>180309.35</v>
      </c>
      <c r="J132" s="13">
        <f t="shared" si="34"/>
        <v>722000</v>
      </c>
      <c r="K132" s="13">
        <f t="shared" si="34"/>
        <v>318000</v>
      </c>
      <c r="L132" s="13">
        <f t="shared" si="34"/>
        <v>2722474.31</v>
      </c>
      <c r="M132" s="13">
        <f t="shared" si="34"/>
        <v>830000</v>
      </c>
      <c r="N132" s="13">
        <f t="shared" si="34"/>
        <v>9479925</v>
      </c>
      <c r="O132" s="13">
        <f t="shared" si="34"/>
        <v>980000</v>
      </c>
      <c r="P132" s="13">
        <f t="shared" si="34"/>
        <v>916165.65</v>
      </c>
      <c r="Q132" s="13">
        <f t="shared" si="34"/>
        <v>1012300</v>
      </c>
      <c r="R132" s="13">
        <f t="shared" si="34"/>
        <v>940000</v>
      </c>
      <c r="S132" s="13">
        <f t="shared" si="34"/>
        <v>920000</v>
      </c>
      <c r="T132" s="13">
        <f t="shared" si="34"/>
        <v>903400</v>
      </c>
      <c r="U132" s="101"/>
      <c r="V132" s="87">
        <f>V134+V137</f>
        <v>19924574.310000002</v>
      </c>
    </row>
    <row r="133" spans="1:22" ht="12.75">
      <c r="A133" s="56"/>
      <c r="B133" s="67"/>
      <c r="C133" s="12"/>
      <c r="D133" s="12"/>
      <c r="E133" s="12"/>
      <c r="F133" s="12"/>
      <c r="G133" s="31"/>
      <c r="H133" s="3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00"/>
      <c r="V133" s="15"/>
    </row>
    <row r="134" spans="1:22" ht="63.75">
      <c r="A134" s="62" t="s">
        <v>87</v>
      </c>
      <c r="B134" s="90" t="s">
        <v>120</v>
      </c>
      <c r="C134" s="37" t="s">
        <v>42</v>
      </c>
      <c r="D134" s="37">
        <v>5810000000</v>
      </c>
      <c r="E134" s="37"/>
      <c r="F134" s="37"/>
      <c r="G134" s="37"/>
      <c r="H134" s="13">
        <f aca="true" t="shared" si="35" ref="H134:T134">H135</f>
        <v>8032400</v>
      </c>
      <c r="I134" s="13">
        <f t="shared" si="35"/>
        <v>0</v>
      </c>
      <c r="J134" s="13">
        <f t="shared" si="35"/>
        <v>0</v>
      </c>
      <c r="K134" s="13">
        <f t="shared" si="35"/>
        <v>0</v>
      </c>
      <c r="L134" s="13">
        <f t="shared" si="35"/>
        <v>0</v>
      </c>
      <c r="M134" s="13">
        <f t="shared" si="35"/>
        <v>0</v>
      </c>
      <c r="N134" s="13">
        <f t="shared" si="35"/>
        <v>7832400</v>
      </c>
      <c r="O134" s="13">
        <f t="shared" si="35"/>
        <v>0</v>
      </c>
      <c r="P134" s="13">
        <f t="shared" si="35"/>
        <v>0</v>
      </c>
      <c r="Q134" s="13">
        <f t="shared" si="35"/>
        <v>200000</v>
      </c>
      <c r="R134" s="13">
        <f t="shared" si="35"/>
        <v>0</v>
      </c>
      <c r="S134" s="13">
        <f t="shared" si="35"/>
        <v>0</v>
      </c>
      <c r="T134" s="13">
        <f t="shared" si="35"/>
        <v>0</v>
      </c>
      <c r="U134" s="101"/>
      <c r="V134" s="87">
        <f>SUM(I134:T134)</f>
        <v>8032400</v>
      </c>
    </row>
    <row r="135" spans="1:22" ht="32.25" customHeight="1">
      <c r="A135" s="56" t="s">
        <v>87</v>
      </c>
      <c r="B135" s="48" t="s">
        <v>157</v>
      </c>
      <c r="C135" s="10" t="s">
        <v>42</v>
      </c>
      <c r="D135" s="78" t="s">
        <v>145</v>
      </c>
      <c r="E135" s="10">
        <v>244</v>
      </c>
      <c r="F135" s="10">
        <v>225</v>
      </c>
      <c r="G135" s="31"/>
      <c r="H135" s="29">
        <f>200000+7832400</f>
        <v>8032400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7832400</v>
      </c>
      <c r="O135" s="14">
        <v>0</v>
      </c>
      <c r="P135" s="14">
        <v>0</v>
      </c>
      <c r="Q135" s="14">
        <v>200000</v>
      </c>
      <c r="R135" s="14">
        <v>0</v>
      </c>
      <c r="S135" s="14">
        <v>0</v>
      </c>
      <c r="T135" s="14">
        <v>0</v>
      </c>
      <c r="U135" s="100"/>
      <c r="V135" s="15">
        <f>SUM(I135:T135)</f>
        <v>8032400</v>
      </c>
    </row>
    <row r="136" spans="1:22" ht="12.75">
      <c r="A136" s="56"/>
      <c r="B136" s="67"/>
      <c r="C136" s="10"/>
      <c r="D136" s="60"/>
      <c r="E136" s="10"/>
      <c r="F136" s="10"/>
      <c r="G136" s="31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00"/>
      <c r="V136" s="15"/>
    </row>
    <row r="137" spans="1:22" ht="63.75">
      <c r="A137" s="62" t="s">
        <v>87</v>
      </c>
      <c r="B137" s="90" t="s">
        <v>121</v>
      </c>
      <c r="C137" s="37" t="s">
        <v>42</v>
      </c>
      <c r="D137" s="37">
        <v>5820000000</v>
      </c>
      <c r="E137" s="37"/>
      <c r="F137" s="37"/>
      <c r="G137" s="37"/>
      <c r="H137" s="13">
        <f>H138+H140+H139</f>
        <v>11892174.31</v>
      </c>
      <c r="I137" s="13">
        <f aca="true" t="shared" si="36" ref="I137:T137">I138+I140+I139</f>
        <v>180309.35</v>
      </c>
      <c r="J137" s="13">
        <f t="shared" si="36"/>
        <v>722000</v>
      </c>
      <c r="K137" s="13">
        <f t="shared" si="36"/>
        <v>318000</v>
      </c>
      <c r="L137" s="13">
        <f t="shared" si="36"/>
        <v>2722474.31</v>
      </c>
      <c r="M137" s="13">
        <f t="shared" si="36"/>
        <v>830000</v>
      </c>
      <c r="N137" s="13">
        <f t="shared" si="36"/>
        <v>1647525</v>
      </c>
      <c r="O137" s="13">
        <f t="shared" si="36"/>
        <v>980000</v>
      </c>
      <c r="P137" s="13">
        <f t="shared" si="36"/>
        <v>916165.65</v>
      </c>
      <c r="Q137" s="13">
        <f t="shared" si="36"/>
        <v>812300</v>
      </c>
      <c r="R137" s="13">
        <f t="shared" si="36"/>
        <v>940000</v>
      </c>
      <c r="S137" s="13">
        <f t="shared" si="36"/>
        <v>920000</v>
      </c>
      <c r="T137" s="13">
        <f t="shared" si="36"/>
        <v>903400</v>
      </c>
      <c r="U137" s="101"/>
      <c r="V137" s="87">
        <f>SUM(I137:T137)</f>
        <v>11892174.31</v>
      </c>
    </row>
    <row r="138" spans="1:22" ht="25.5">
      <c r="A138" s="56" t="s">
        <v>87</v>
      </c>
      <c r="B138" s="48" t="s">
        <v>157</v>
      </c>
      <c r="C138" s="10" t="s">
        <v>42</v>
      </c>
      <c r="D138" s="10">
        <v>5820110140</v>
      </c>
      <c r="E138" s="10">
        <v>244</v>
      </c>
      <c r="F138" s="10">
        <v>225</v>
      </c>
      <c r="G138" s="31"/>
      <c r="H138" s="29">
        <f>7812000+1885474.31</f>
        <v>9697474.31</v>
      </c>
      <c r="I138" s="14">
        <f>560000-551225</f>
        <v>8775</v>
      </c>
      <c r="J138" s="14">
        <v>530000</v>
      </c>
      <c r="K138" s="14">
        <v>208000</v>
      </c>
      <c r="L138" s="14">
        <f>600000+1885474.31</f>
        <v>2485474.31</v>
      </c>
      <c r="M138" s="14">
        <v>650000</v>
      </c>
      <c r="N138" s="14">
        <f>921300+551225</f>
        <v>1472525</v>
      </c>
      <c r="O138" s="14">
        <v>830000</v>
      </c>
      <c r="P138" s="14">
        <v>750000</v>
      </c>
      <c r="Q138" s="14">
        <v>591300</v>
      </c>
      <c r="R138" s="14">
        <v>790000</v>
      </c>
      <c r="S138" s="14">
        <v>770000</v>
      </c>
      <c r="T138" s="14">
        <v>611400</v>
      </c>
      <c r="U138" s="100"/>
      <c r="V138" s="15">
        <f>SUM(I138:T138)</f>
        <v>9697474.31</v>
      </c>
    </row>
    <row r="139" spans="1:22" ht="25.5">
      <c r="A139" s="56" t="s">
        <v>87</v>
      </c>
      <c r="B139" s="48" t="s">
        <v>157</v>
      </c>
      <c r="C139" s="10" t="s">
        <v>42</v>
      </c>
      <c r="D139" s="10">
        <v>5820110140</v>
      </c>
      <c r="E139" s="10">
        <v>245</v>
      </c>
      <c r="F139" s="10"/>
      <c r="G139" s="31"/>
      <c r="H139" s="29">
        <v>16700</v>
      </c>
      <c r="I139" s="14">
        <v>16700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00"/>
      <c r="V139" s="15">
        <f>SUM(I139:T139)</f>
        <v>16700</v>
      </c>
    </row>
    <row r="140" spans="1:22" ht="25.5">
      <c r="A140" s="56" t="s">
        <v>87</v>
      </c>
      <c r="B140" s="110" t="s">
        <v>168</v>
      </c>
      <c r="C140" s="10" t="s">
        <v>42</v>
      </c>
      <c r="D140" s="10">
        <v>5820110140</v>
      </c>
      <c r="E140" s="10">
        <v>247</v>
      </c>
      <c r="F140" s="10">
        <v>223</v>
      </c>
      <c r="G140" s="31"/>
      <c r="H140" s="14">
        <v>2178000</v>
      </c>
      <c r="I140" s="14">
        <f>100000+54834.35</f>
        <v>154834.35</v>
      </c>
      <c r="J140" s="14">
        <v>192000</v>
      </c>
      <c r="K140" s="14">
        <v>110000</v>
      </c>
      <c r="L140" s="14">
        <v>237000</v>
      </c>
      <c r="M140" s="14">
        <v>180000</v>
      </c>
      <c r="N140" s="14">
        <v>175000</v>
      </c>
      <c r="O140" s="14">
        <v>150000</v>
      </c>
      <c r="P140" s="14">
        <f>221000-54834.35</f>
        <v>166165.65</v>
      </c>
      <c r="Q140" s="14">
        <v>221000</v>
      </c>
      <c r="R140" s="14">
        <v>150000</v>
      </c>
      <c r="S140" s="14">
        <v>150000</v>
      </c>
      <c r="T140" s="14">
        <v>292000</v>
      </c>
      <c r="U140" s="100"/>
      <c r="V140" s="15">
        <f>SUM(I140:T140)</f>
        <v>2178000</v>
      </c>
    </row>
    <row r="141" spans="1:22" ht="12.75">
      <c r="A141" s="56"/>
      <c r="B141" s="23"/>
      <c r="C141" s="10"/>
      <c r="D141" s="10"/>
      <c r="E141" s="10"/>
      <c r="F141" s="10"/>
      <c r="G141" s="31"/>
      <c r="H141" s="3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00"/>
      <c r="V141" s="15"/>
    </row>
    <row r="142" spans="1:22" ht="12.75">
      <c r="A142" s="56"/>
      <c r="B142" s="25" t="s">
        <v>45</v>
      </c>
      <c r="C142" s="25" t="s">
        <v>42</v>
      </c>
      <c r="D142" s="12"/>
      <c r="E142" s="12"/>
      <c r="F142" s="12"/>
      <c r="G142" s="31"/>
      <c r="H142" s="30">
        <f aca="true" t="shared" si="37" ref="H142:T142">H132</f>
        <v>19924574.310000002</v>
      </c>
      <c r="I142" s="30">
        <f t="shared" si="37"/>
        <v>180309.35</v>
      </c>
      <c r="J142" s="30">
        <f t="shared" si="37"/>
        <v>722000</v>
      </c>
      <c r="K142" s="30">
        <f t="shared" si="37"/>
        <v>318000</v>
      </c>
      <c r="L142" s="30">
        <f t="shared" si="37"/>
        <v>2722474.31</v>
      </c>
      <c r="M142" s="30">
        <f t="shared" si="37"/>
        <v>830000</v>
      </c>
      <c r="N142" s="30">
        <f t="shared" si="37"/>
        <v>9479925</v>
      </c>
      <c r="O142" s="30">
        <f t="shared" si="37"/>
        <v>980000</v>
      </c>
      <c r="P142" s="30">
        <f t="shared" si="37"/>
        <v>916165.65</v>
      </c>
      <c r="Q142" s="30">
        <f t="shared" si="37"/>
        <v>1012300</v>
      </c>
      <c r="R142" s="30">
        <f t="shared" si="37"/>
        <v>940000</v>
      </c>
      <c r="S142" s="30">
        <f t="shared" si="37"/>
        <v>920000</v>
      </c>
      <c r="T142" s="30">
        <f t="shared" si="37"/>
        <v>903400</v>
      </c>
      <c r="U142" s="102"/>
      <c r="V142" s="47">
        <f>SUM(I142:T142)</f>
        <v>19924574.310000002</v>
      </c>
    </row>
    <row r="143" spans="1:22" ht="12.75">
      <c r="A143" s="56"/>
      <c r="B143" s="67"/>
      <c r="C143" s="12"/>
      <c r="D143" s="12"/>
      <c r="E143" s="12"/>
      <c r="F143" s="12"/>
      <c r="G143" s="31"/>
      <c r="H143" s="3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00"/>
      <c r="V143" s="15"/>
    </row>
    <row r="144" spans="1:22" ht="63.75">
      <c r="A144" s="62" t="s">
        <v>87</v>
      </c>
      <c r="B144" s="90" t="s">
        <v>122</v>
      </c>
      <c r="C144" s="37" t="s">
        <v>20</v>
      </c>
      <c r="D144" s="37">
        <v>5900000000</v>
      </c>
      <c r="E144" s="37"/>
      <c r="F144" s="37"/>
      <c r="G144" s="37"/>
      <c r="H144" s="13">
        <f aca="true" t="shared" si="38" ref="H144:T144">H145</f>
        <v>100046</v>
      </c>
      <c r="I144" s="13">
        <f t="shared" si="38"/>
        <v>9500</v>
      </c>
      <c r="J144" s="13">
        <f t="shared" si="38"/>
        <v>0</v>
      </c>
      <c r="K144" s="13">
        <f t="shared" si="38"/>
        <v>0</v>
      </c>
      <c r="L144" s="13">
        <f t="shared" si="38"/>
        <v>0</v>
      </c>
      <c r="M144" s="13">
        <f t="shared" si="38"/>
        <v>0</v>
      </c>
      <c r="N144" s="13">
        <f t="shared" si="38"/>
        <v>0</v>
      </c>
      <c r="O144" s="13">
        <f t="shared" si="38"/>
        <v>0</v>
      </c>
      <c r="P144" s="13">
        <f t="shared" si="38"/>
        <v>0</v>
      </c>
      <c r="Q144" s="13">
        <f t="shared" si="38"/>
        <v>0</v>
      </c>
      <c r="R144" s="13">
        <f t="shared" si="38"/>
        <v>0</v>
      </c>
      <c r="S144" s="13">
        <f t="shared" si="38"/>
        <v>0</v>
      </c>
      <c r="T144" s="13">
        <f t="shared" si="38"/>
        <v>90546</v>
      </c>
      <c r="U144" s="101"/>
      <c r="V144" s="18">
        <f aca="true" t="shared" si="39" ref="V144:V160">SUM(I144:T144)</f>
        <v>100046</v>
      </c>
    </row>
    <row r="145" spans="1:22" ht="25.5">
      <c r="A145" s="56" t="s">
        <v>87</v>
      </c>
      <c r="B145" s="48" t="s">
        <v>157</v>
      </c>
      <c r="C145" s="10" t="s">
        <v>20</v>
      </c>
      <c r="D145" s="10">
        <v>5910110160</v>
      </c>
      <c r="E145" s="10">
        <v>244</v>
      </c>
      <c r="F145" s="10">
        <v>226</v>
      </c>
      <c r="G145" s="31"/>
      <c r="H145" s="14">
        <v>100046</v>
      </c>
      <c r="I145" s="14">
        <v>9500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f>100046-9500</f>
        <v>90546</v>
      </c>
      <c r="U145" s="100"/>
      <c r="V145" s="15">
        <f t="shared" si="39"/>
        <v>100046</v>
      </c>
    </row>
    <row r="146" spans="1:22" ht="12.75">
      <c r="A146" s="56"/>
      <c r="B146" s="67"/>
      <c r="C146" s="12"/>
      <c r="D146" s="12"/>
      <c r="E146" s="12"/>
      <c r="F146" s="12"/>
      <c r="G146" s="31"/>
      <c r="H146" s="3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00"/>
      <c r="V146" s="15">
        <f t="shared" si="39"/>
        <v>0</v>
      </c>
    </row>
    <row r="147" spans="1:22" ht="153" customHeight="1">
      <c r="A147" s="62" t="s">
        <v>87</v>
      </c>
      <c r="B147" s="90" t="s">
        <v>193</v>
      </c>
      <c r="C147" s="37" t="s">
        <v>20</v>
      </c>
      <c r="D147" s="37">
        <v>6000000000</v>
      </c>
      <c r="E147" s="37"/>
      <c r="F147" s="37"/>
      <c r="G147" s="37"/>
      <c r="H147" s="13">
        <f aca="true" t="shared" si="40" ref="H147:T147">H148</f>
        <v>20000</v>
      </c>
      <c r="I147" s="13">
        <f t="shared" si="40"/>
        <v>0</v>
      </c>
      <c r="J147" s="13">
        <f t="shared" si="40"/>
        <v>0</v>
      </c>
      <c r="K147" s="13">
        <f t="shared" si="40"/>
        <v>0</v>
      </c>
      <c r="L147" s="13">
        <f t="shared" si="40"/>
        <v>0</v>
      </c>
      <c r="M147" s="13">
        <f t="shared" si="40"/>
        <v>0</v>
      </c>
      <c r="N147" s="13">
        <f t="shared" si="40"/>
        <v>0</v>
      </c>
      <c r="O147" s="13">
        <f t="shared" si="40"/>
        <v>0</v>
      </c>
      <c r="P147" s="13">
        <f t="shared" si="40"/>
        <v>0</v>
      </c>
      <c r="Q147" s="13">
        <f t="shared" si="40"/>
        <v>0</v>
      </c>
      <c r="R147" s="13">
        <f t="shared" si="40"/>
        <v>0</v>
      </c>
      <c r="S147" s="13">
        <f t="shared" si="40"/>
        <v>20000</v>
      </c>
      <c r="T147" s="13">
        <f t="shared" si="40"/>
        <v>0</v>
      </c>
      <c r="U147" s="101"/>
      <c r="V147" s="87">
        <f t="shared" si="39"/>
        <v>20000</v>
      </c>
    </row>
    <row r="148" spans="1:22" ht="38.25">
      <c r="A148" s="56" t="s">
        <v>87</v>
      </c>
      <c r="B148" s="48" t="s">
        <v>158</v>
      </c>
      <c r="C148" s="10" t="s">
        <v>20</v>
      </c>
      <c r="D148" s="10">
        <v>6010110170</v>
      </c>
      <c r="E148" s="10">
        <v>244</v>
      </c>
      <c r="F148" s="10">
        <v>340</v>
      </c>
      <c r="G148" s="10"/>
      <c r="H148" s="14">
        <v>20000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20000</v>
      </c>
      <c r="T148" s="14">
        <v>0</v>
      </c>
      <c r="U148" s="100"/>
      <c r="V148" s="15">
        <f t="shared" si="39"/>
        <v>20000</v>
      </c>
    </row>
    <row r="149" spans="1:22" ht="12.75">
      <c r="A149" s="56"/>
      <c r="B149" s="63"/>
      <c r="C149" s="16"/>
      <c r="D149" s="16"/>
      <c r="E149" s="16"/>
      <c r="F149" s="16"/>
      <c r="G149" s="10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00"/>
      <c r="V149" s="15">
        <f t="shared" si="39"/>
        <v>0</v>
      </c>
    </row>
    <row r="150" spans="1:22" ht="116.25" customHeight="1">
      <c r="A150" s="57" t="s">
        <v>87</v>
      </c>
      <c r="B150" s="90" t="s">
        <v>203</v>
      </c>
      <c r="C150" s="37" t="s">
        <v>20</v>
      </c>
      <c r="D150" s="37">
        <v>8710000460</v>
      </c>
      <c r="E150" s="37">
        <v>540</v>
      </c>
      <c r="F150" s="36"/>
      <c r="G150" s="37"/>
      <c r="H150" s="13">
        <v>354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354</v>
      </c>
      <c r="R150" s="13">
        <v>0</v>
      </c>
      <c r="S150" s="13">
        <v>0</v>
      </c>
      <c r="T150" s="13">
        <v>0</v>
      </c>
      <c r="U150" s="101"/>
      <c r="V150" s="15">
        <f t="shared" si="39"/>
        <v>354</v>
      </c>
    </row>
    <row r="151" spans="1:22" ht="12.75">
      <c r="A151" s="56"/>
      <c r="B151" s="25"/>
      <c r="C151" s="26"/>
      <c r="D151" s="12"/>
      <c r="E151" s="12"/>
      <c r="F151" s="12"/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102"/>
      <c r="V151" s="15">
        <f t="shared" si="39"/>
        <v>0</v>
      </c>
    </row>
    <row r="152" spans="1:22" ht="12.75">
      <c r="A152" s="56"/>
      <c r="B152" s="25"/>
      <c r="C152" s="26"/>
      <c r="D152" s="12"/>
      <c r="E152" s="12"/>
      <c r="F152" s="12"/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102"/>
      <c r="V152" s="15">
        <f t="shared" si="39"/>
        <v>0</v>
      </c>
    </row>
    <row r="153" spans="1:22" ht="12.75">
      <c r="A153" s="56"/>
      <c r="B153" s="25" t="s">
        <v>45</v>
      </c>
      <c r="C153" s="25" t="s">
        <v>20</v>
      </c>
      <c r="D153" s="12"/>
      <c r="E153" s="12"/>
      <c r="F153" s="12"/>
      <c r="G153" s="31"/>
      <c r="H153" s="30">
        <f aca="true" t="shared" si="41" ref="H153:T153">H147+H144+H150</f>
        <v>120400</v>
      </c>
      <c r="I153" s="30">
        <f t="shared" si="41"/>
        <v>9500</v>
      </c>
      <c r="J153" s="30">
        <f t="shared" si="41"/>
        <v>0</v>
      </c>
      <c r="K153" s="30">
        <f t="shared" si="41"/>
        <v>0</v>
      </c>
      <c r="L153" s="30">
        <f t="shared" si="41"/>
        <v>0</v>
      </c>
      <c r="M153" s="30">
        <f t="shared" si="41"/>
        <v>0</v>
      </c>
      <c r="N153" s="30">
        <f t="shared" si="41"/>
        <v>0</v>
      </c>
      <c r="O153" s="30">
        <f t="shared" si="41"/>
        <v>0</v>
      </c>
      <c r="P153" s="30">
        <f t="shared" si="41"/>
        <v>0</v>
      </c>
      <c r="Q153" s="30">
        <f t="shared" si="41"/>
        <v>354</v>
      </c>
      <c r="R153" s="30">
        <f t="shared" si="41"/>
        <v>0</v>
      </c>
      <c r="S153" s="30">
        <f t="shared" si="41"/>
        <v>20000</v>
      </c>
      <c r="T153" s="30">
        <f t="shared" si="41"/>
        <v>90546</v>
      </c>
      <c r="U153" s="102"/>
      <c r="V153" s="47">
        <f t="shared" si="39"/>
        <v>120400</v>
      </c>
    </row>
    <row r="154" spans="1:22" ht="12.75">
      <c r="A154" s="56"/>
      <c r="B154" s="67"/>
      <c r="C154" s="12"/>
      <c r="D154" s="12"/>
      <c r="E154" s="12"/>
      <c r="F154" s="12"/>
      <c r="G154" s="31"/>
      <c r="H154" s="3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00"/>
      <c r="V154" s="15">
        <f t="shared" si="39"/>
        <v>0</v>
      </c>
    </row>
    <row r="155" spans="1:22" ht="12.75">
      <c r="A155" s="66"/>
      <c r="B155" s="92" t="s">
        <v>61</v>
      </c>
      <c r="C155" s="68"/>
      <c r="D155" s="68"/>
      <c r="E155" s="68"/>
      <c r="F155" s="68"/>
      <c r="G155" s="69"/>
      <c r="H155" s="42">
        <f aca="true" t="shared" si="42" ref="H155:T155">H153+H142</f>
        <v>20044974.310000002</v>
      </c>
      <c r="I155" s="42">
        <f t="shared" si="42"/>
        <v>189809.35</v>
      </c>
      <c r="J155" s="42">
        <f t="shared" si="42"/>
        <v>722000</v>
      </c>
      <c r="K155" s="42">
        <f t="shared" si="42"/>
        <v>318000</v>
      </c>
      <c r="L155" s="42">
        <f t="shared" si="42"/>
        <v>2722474.31</v>
      </c>
      <c r="M155" s="42">
        <f t="shared" si="42"/>
        <v>830000</v>
      </c>
      <c r="N155" s="42">
        <f t="shared" si="42"/>
        <v>9479925</v>
      </c>
      <c r="O155" s="42">
        <f t="shared" si="42"/>
        <v>980000</v>
      </c>
      <c r="P155" s="42">
        <f t="shared" si="42"/>
        <v>916165.65</v>
      </c>
      <c r="Q155" s="42">
        <f t="shared" si="42"/>
        <v>1012654</v>
      </c>
      <c r="R155" s="42">
        <f t="shared" si="42"/>
        <v>940000</v>
      </c>
      <c r="S155" s="42">
        <f t="shared" si="42"/>
        <v>940000</v>
      </c>
      <c r="T155" s="42">
        <f t="shared" si="42"/>
        <v>993946</v>
      </c>
      <c r="U155" s="104"/>
      <c r="V155" s="50">
        <f t="shared" si="39"/>
        <v>20044974.310000002</v>
      </c>
    </row>
    <row r="156" spans="1:22" ht="12.75">
      <c r="A156" s="60"/>
      <c r="B156" s="43"/>
      <c r="C156" s="12"/>
      <c r="D156" s="12"/>
      <c r="E156" s="12"/>
      <c r="F156" s="12"/>
      <c r="G156" s="31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104"/>
      <c r="V156" s="15">
        <f t="shared" si="39"/>
        <v>0</v>
      </c>
    </row>
    <row r="157" spans="1:22" ht="84" customHeight="1">
      <c r="A157" s="62" t="s">
        <v>87</v>
      </c>
      <c r="B157" s="90" t="s">
        <v>123</v>
      </c>
      <c r="C157" s="37" t="s">
        <v>21</v>
      </c>
      <c r="D157" s="37">
        <v>6100000000</v>
      </c>
      <c r="E157" s="36"/>
      <c r="F157" s="36"/>
      <c r="G157" s="37"/>
      <c r="H157" s="13">
        <f aca="true" t="shared" si="43" ref="H157:T157">H159+H164+H161</f>
        <v>220000</v>
      </c>
      <c r="I157" s="13">
        <f t="shared" si="43"/>
        <v>0</v>
      </c>
      <c r="J157" s="13">
        <f t="shared" si="43"/>
        <v>0</v>
      </c>
      <c r="K157" s="13">
        <f t="shared" si="43"/>
        <v>0</v>
      </c>
      <c r="L157" s="13">
        <f t="shared" si="43"/>
        <v>0</v>
      </c>
      <c r="M157" s="13">
        <f t="shared" si="43"/>
        <v>0</v>
      </c>
      <c r="N157" s="13">
        <f t="shared" si="43"/>
        <v>0</v>
      </c>
      <c r="O157" s="13">
        <f t="shared" si="43"/>
        <v>50000</v>
      </c>
      <c r="P157" s="13">
        <f t="shared" si="43"/>
        <v>50000</v>
      </c>
      <c r="Q157" s="13">
        <f t="shared" si="43"/>
        <v>98300</v>
      </c>
      <c r="R157" s="13">
        <f t="shared" si="43"/>
        <v>0</v>
      </c>
      <c r="S157" s="13">
        <f t="shared" si="43"/>
        <v>10000</v>
      </c>
      <c r="T157" s="13">
        <f t="shared" si="43"/>
        <v>11700</v>
      </c>
      <c r="U157" s="101"/>
      <c r="V157" s="87">
        <f t="shared" si="39"/>
        <v>220000</v>
      </c>
    </row>
    <row r="158" spans="1:22" ht="13.5" customHeight="1">
      <c r="A158" s="65"/>
      <c r="B158" s="67"/>
      <c r="C158" s="12"/>
      <c r="D158" s="12"/>
      <c r="E158" s="12"/>
      <c r="F158" s="12"/>
      <c r="G158" s="31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101"/>
      <c r="V158" s="15">
        <f t="shared" si="39"/>
        <v>0</v>
      </c>
    </row>
    <row r="159" spans="1:22" ht="86.25" customHeight="1">
      <c r="A159" s="62" t="s">
        <v>87</v>
      </c>
      <c r="B159" s="90" t="s">
        <v>124</v>
      </c>
      <c r="C159" s="37" t="s">
        <v>21</v>
      </c>
      <c r="D159" s="37">
        <v>6110000000</v>
      </c>
      <c r="E159" s="37"/>
      <c r="F159" s="37"/>
      <c r="G159" s="37"/>
      <c r="H159" s="13">
        <f aca="true" t="shared" si="44" ref="H159:T159">H160</f>
        <v>10000</v>
      </c>
      <c r="I159" s="13">
        <f t="shared" si="44"/>
        <v>0</v>
      </c>
      <c r="J159" s="13">
        <f t="shared" si="44"/>
        <v>0</v>
      </c>
      <c r="K159" s="13">
        <f t="shared" si="44"/>
        <v>0</v>
      </c>
      <c r="L159" s="13">
        <f t="shared" si="44"/>
        <v>0</v>
      </c>
      <c r="M159" s="13">
        <f t="shared" si="44"/>
        <v>0</v>
      </c>
      <c r="N159" s="13">
        <f t="shared" si="44"/>
        <v>0</v>
      </c>
      <c r="O159" s="13">
        <f t="shared" si="44"/>
        <v>0</v>
      </c>
      <c r="P159" s="13">
        <f t="shared" si="44"/>
        <v>0</v>
      </c>
      <c r="Q159" s="13">
        <f t="shared" si="44"/>
        <v>10000</v>
      </c>
      <c r="R159" s="13">
        <f t="shared" si="44"/>
        <v>0</v>
      </c>
      <c r="S159" s="13">
        <f t="shared" si="44"/>
        <v>0</v>
      </c>
      <c r="T159" s="13">
        <f t="shared" si="44"/>
        <v>0</v>
      </c>
      <c r="U159" s="101"/>
      <c r="V159" s="87">
        <f t="shared" si="39"/>
        <v>10000</v>
      </c>
    </row>
    <row r="160" spans="1:22" ht="25.5">
      <c r="A160" s="56" t="s">
        <v>87</v>
      </c>
      <c r="B160" s="48" t="s">
        <v>157</v>
      </c>
      <c r="C160" s="10" t="s">
        <v>21</v>
      </c>
      <c r="D160" s="10">
        <v>6110110200</v>
      </c>
      <c r="E160" s="10">
        <v>244</v>
      </c>
      <c r="F160" s="10">
        <v>225</v>
      </c>
      <c r="G160" s="31"/>
      <c r="H160" s="14">
        <v>10000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10000</v>
      </c>
      <c r="R160" s="14">
        <v>0</v>
      </c>
      <c r="S160" s="14">
        <v>0</v>
      </c>
      <c r="T160" s="14">
        <v>0</v>
      </c>
      <c r="U160" s="100"/>
      <c r="V160" s="15">
        <f t="shared" si="39"/>
        <v>10000</v>
      </c>
    </row>
    <row r="161" spans="1:22" s="3" customFormat="1" ht="141" customHeight="1">
      <c r="A161" s="62" t="s">
        <v>87</v>
      </c>
      <c r="B161" s="90" t="s">
        <v>125</v>
      </c>
      <c r="C161" s="37" t="s">
        <v>21</v>
      </c>
      <c r="D161" s="37">
        <v>6120000000</v>
      </c>
      <c r="E161" s="37"/>
      <c r="F161" s="37"/>
      <c r="G161" s="37"/>
      <c r="H161" s="13">
        <f aca="true" t="shared" si="45" ref="H161:T161">H162</f>
        <v>21700</v>
      </c>
      <c r="I161" s="13">
        <f t="shared" si="45"/>
        <v>0</v>
      </c>
      <c r="J161" s="13">
        <f t="shared" si="45"/>
        <v>0</v>
      </c>
      <c r="K161" s="13">
        <f t="shared" si="45"/>
        <v>0</v>
      </c>
      <c r="L161" s="13">
        <f t="shared" si="45"/>
        <v>0</v>
      </c>
      <c r="M161" s="13">
        <f t="shared" si="45"/>
        <v>0</v>
      </c>
      <c r="N161" s="13">
        <f t="shared" si="45"/>
        <v>0</v>
      </c>
      <c r="O161" s="13">
        <f t="shared" si="45"/>
        <v>0</v>
      </c>
      <c r="P161" s="13">
        <f t="shared" si="45"/>
        <v>0</v>
      </c>
      <c r="Q161" s="13">
        <f t="shared" si="45"/>
        <v>0</v>
      </c>
      <c r="R161" s="13">
        <f t="shared" si="45"/>
        <v>0</v>
      </c>
      <c r="S161" s="13">
        <f t="shared" si="45"/>
        <v>10000</v>
      </c>
      <c r="T161" s="13">
        <f t="shared" si="45"/>
        <v>11700</v>
      </c>
      <c r="U161" s="101"/>
      <c r="V161" s="87">
        <f>V162</f>
        <v>21700</v>
      </c>
    </row>
    <row r="162" spans="1:22" ht="51">
      <c r="A162" s="56" t="s">
        <v>87</v>
      </c>
      <c r="B162" s="48" t="s">
        <v>175</v>
      </c>
      <c r="C162" s="10" t="s">
        <v>21</v>
      </c>
      <c r="D162" s="10">
        <v>6120110210</v>
      </c>
      <c r="E162" s="10">
        <v>244</v>
      </c>
      <c r="F162" s="10">
        <v>310</v>
      </c>
      <c r="G162" s="31"/>
      <c r="H162" s="14">
        <f>10000+11700</f>
        <v>21700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10000</v>
      </c>
      <c r="T162" s="14">
        <v>11700</v>
      </c>
      <c r="U162" s="100"/>
      <c r="V162" s="15">
        <f>SUM(I162:T162)</f>
        <v>21700</v>
      </c>
    </row>
    <row r="163" spans="1:22" ht="12.75">
      <c r="A163" s="56"/>
      <c r="B163" s="63"/>
      <c r="C163" s="10"/>
      <c r="D163" s="10"/>
      <c r="E163" s="10"/>
      <c r="F163" s="10"/>
      <c r="G163" s="31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00"/>
      <c r="V163" s="15"/>
    </row>
    <row r="164" spans="1:22" ht="63.75">
      <c r="A164" s="62" t="s">
        <v>87</v>
      </c>
      <c r="B164" s="90" t="s">
        <v>139</v>
      </c>
      <c r="C164" s="37" t="s">
        <v>21</v>
      </c>
      <c r="D164" s="37">
        <v>6200000000</v>
      </c>
      <c r="E164" s="37"/>
      <c r="F164" s="37"/>
      <c r="G164" s="37"/>
      <c r="H164" s="13">
        <f aca="true" t="shared" si="46" ref="H164:T164">H165+H166</f>
        <v>188300</v>
      </c>
      <c r="I164" s="13">
        <f t="shared" si="46"/>
        <v>0</v>
      </c>
      <c r="J164" s="13">
        <f t="shared" si="46"/>
        <v>0</v>
      </c>
      <c r="K164" s="13">
        <f t="shared" si="46"/>
        <v>0</v>
      </c>
      <c r="L164" s="13">
        <f t="shared" si="46"/>
        <v>0</v>
      </c>
      <c r="M164" s="13">
        <f t="shared" si="46"/>
        <v>0</v>
      </c>
      <c r="N164" s="13">
        <f t="shared" si="46"/>
        <v>0</v>
      </c>
      <c r="O164" s="13">
        <f t="shared" si="46"/>
        <v>50000</v>
      </c>
      <c r="P164" s="13">
        <f t="shared" si="46"/>
        <v>50000</v>
      </c>
      <c r="Q164" s="13">
        <f t="shared" si="46"/>
        <v>88300</v>
      </c>
      <c r="R164" s="13">
        <f t="shared" si="46"/>
        <v>0</v>
      </c>
      <c r="S164" s="13">
        <f t="shared" si="46"/>
        <v>0</v>
      </c>
      <c r="T164" s="13">
        <f t="shared" si="46"/>
        <v>0</v>
      </c>
      <c r="U164" s="101"/>
      <c r="V164" s="87">
        <f>SUM(I164:T164)</f>
        <v>188300</v>
      </c>
    </row>
    <row r="165" spans="1:22" ht="25.5">
      <c r="A165" s="56" t="s">
        <v>87</v>
      </c>
      <c r="B165" s="48" t="s">
        <v>157</v>
      </c>
      <c r="C165" s="10" t="s">
        <v>21</v>
      </c>
      <c r="D165" s="10">
        <v>6210110230</v>
      </c>
      <c r="E165" s="10">
        <v>244</v>
      </c>
      <c r="F165" s="10">
        <v>310</v>
      </c>
      <c r="G165" s="31"/>
      <c r="H165" s="14">
        <f>200000-11700</f>
        <v>188300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50000</v>
      </c>
      <c r="P165" s="14">
        <v>50000</v>
      </c>
      <c r="Q165" s="14">
        <f>100000-11700</f>
        <v>88300</v>
      </c>
      <c r="R165" s="14">
        <v>0</v>
      </c>
      <c r="S165" s="14">
        <v>0</v>
      </c>
      <c r="T165" s="14">
        <v>0</v>
      </c>
      <c r="U165" s="100"/>
      <c r="V165" s="15">
        <f>SUM(I165:T165)</f>
        <v>188300</v>
      </c>
    </row>
    <row r="166" spans="1:22" ht="76.5" hidden="1">
      <c r="A166" s="56" t="s">
        <v>87</v>
      </c>
      <c r="B166" s="48" t="s">
        <v>198</v>
      </c>
      <c r="C166" s="10" t="s">
        <v>21</v>
      </c>
      <c r="D166" s="10">
        <v>6210110230</v>
      </c>
      <c r="E166" s="10">
        <v>245</v>
      </c>
      <c r="F166" s="10">
        <v>226</v>
      </c>
      <c r="G166" s="31"/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00"/>
      <c r="V166" s="15">
        <f>SUM(I166:T166)</f>
        <v>0</v>
      </c>
    </row>
    <row r="167" spans="1:22" ht="12.75">
      <c r="A167" s="56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103"/>
      <c r="V167" s="22"/>
    </row>
    <row r="168" spans="1:22" ht="12.75">
      <c r="A168" s="60"/>
      <c r="B168" s="25" t="s">
        <v>45</v>
      </c>
      <c r="C168" s="25" t="s">
        <v>21</v>
      </c>
      <c r="D168" s="12"/>
      <c r="E168" s="12"/>
      <c r="F168" s="12"/>
      <c r="G168" s="31"/>
      <c r="H168" s="30">
        <f aca="true" t="shared" si="47" ref="H168:T168">H162+H164+H159</f>
        <v>220000</v>
      </c>
      <c r="I168" s="30">
        <f t="shared" si="47"/>
        <v>0</v>
      </c>
      <c r="J168" s="30">
        <f t="shared" si="47"/>
        <v>0</v>
      </c>
      <c r="K168" s="30">
        <f t="shared" si="47"/>
        <v>0</v>
      </c>
      <c r="L168" s="30">
        <f t="shared" si="47"/>
        <v>0</v>
      </c>
      <c r="M168" s="30">
        <f t="shared" si="47"/>
        <v>0</v>
      </c>
      <c r="N168" s="30">
        <f t="shared" si="47"/>
        <v>0</v>
      </c>
      <c r="O168" s="30">
        <f t="shared" si="47"/>
        <v>50000</v>
      </c>
      <c r="P168" s="30">
        <f t="shared" si="47"/>
        <v>50000</v>
      </c>
      <c r="Q168" s="30">
        <f t="shared" si="47"/>
        <v>98300</v>
      </c>
      <c r="R168" s="30">
        <f t="shared" si="47"/>
        <v>0</v>
      </c>
      <c r="S168" s="30">
        <f t="shared" si="47"/>
        <v>10000</v>
      </c>
      <c r="T168" s="30">
        <f t="shared" si="47"/>
        <v>11700</v>
      </c>
      <c r="U168" s="102"/>
      <c r="V168" s="47">
        <f>SUM(I168:T168)</f>
        <v>220000</v>
      </c>
    </row>
    <row r="169" spans="1:22" ht="12.75">
      <c r="A169" s="60"/>
      <c r="B169" s="25"/>
      <c r="C169" s="11"/>
      <c r="D169" s="12"/>
      <c r="E169" s="12"/>
      <c r="F169" s="12"/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97"/>
      <c r="V169" s="47"/>
    </row>
    <row r="170" spans="1:22" ht="63.75">
      <c r="A170" s="62" t="s">
        <v>87</v>
      </c>
      <c r="B170" s="93" t="s">
        <v>146</v>
      </c>
      <c r="C170" s="37" t="s">
        <v>22</v>
      </c>
      <c r="D170" s="94" t="s">
        <v>102</v>
      </c>
      <c r="E170" s="41"/>
      <c r="F170" s="41"/>
      <c r="G170" s="37"/>
      <c r="H170" s="13">
        <f aca="true" t="shared" si="48" ref="H170:T170">H171</f>
        <v>50000</v>
      </c>
      <c r="I170" s="13">
        <f t="shared" si="48"/>
        <v>0</v>
      </c>
      <c r="J170" s="13">
        <f t="shared" si="48"/>
        <v>0</v>
      </c>
      <c r="K170" s="13">
        <f t="shared" si="48"/>
        <v>0</v>
      </c>
      <c r="L170" s="13">
        <f t="shared" si="48"/>
        <v>0</v>
      </c>
      <c r="M170" s="13">
        <f t="shared" si="48"/>
        <v>0</v>
      </c>
      <c r="N170" s="13">
        <f t="shared" si="48"/>
        <v>0</v>
      </c>
      <c r="O170" s="13">
        <f t="shared" si="48"/>
        <v>0</v>
      </c>
      <c r="P170" s="13">
        <f t="shared" si="48"/>
        <v>0</v>
      </c>
      <c r="Q170" s="13">
        <f t="shared" si="48"/>
        <v>50000</v>
      </c>
      <c r="R170" s="13">
        <f t="shared" si="48"/>
        <v>0</v>
      </c>
      <c r="S170" s="13">
        <f t="shared" si="48"/>
        <v>0</v>
      </c>
      <c r="T170" s="13">
        <f t="shared" si="48"/>
        <v>0</v>
      </c>
      <c r="U170" s="58"/>
      <c r="V170" s="88">
        <f>V171</f>
        <v>50000</v>
      </c>
    </row>
    <row r="171" spans="1:22" ht="25.5">
      <c r="A171" s="56" t="s">
        <v>87</v>
      </c>
      <c r="B171" s="48" t="s">
        <v>157</v>
      </c>
      <c r="C171" s="10" t="s">
        <v>22</v>
      </c>
      <c r="D171" s="95" t="s">
        <v>103</v>
      </c>
      <c r="E171" s="10">
        <v>244</v>
      </c>
      <c r="F171" s="10">
        <v>226</v>
      </c>
      <c r="G171" s="31"/>
      <c r="H171" s="14">
        <v>50000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50000</v>
      </c>
      <c r="R171" s="14">
        <v>0</v>
      </c>
      <c r="S171" s="14">
        <v>0</v>
      </c>
      <c r="T171" s="14">
        <v>0</v>
      </c>
      <c r="U171" s="100"/>
      <c r="V171" s="15">
        <f>SUM(I171:T171)</f>
        <v>50000</v>
      </c>
    </row>
    <row r="172" spans="1:22" ht="83.25" customHeight="1">
      <c r="A172" s="62" t="s">
        <v>87</v>
      </c>
      <c r="B172" s="90" t="s">
        <v>126</v>
      </c>
      <c r="C172" s="37" t="s">
        <v>22</v>
      </c>
      <c r="D172" s="37">
        <v>6300000000</v>
      </c>
      <c r="E172" s="36"/>
      <c r="F172" s="36"/>
      <c r="G172" s="37"/>
      <c r="H172" s="13">
        <f aca="true" t="shared" si="49" ref="H172:T172">H174+H195+H188</f>
        <v>11573020.02</v>
      </c>
      <c r="I172" s="13">
        <f t="shared" si="49"/>
        <v>829013</v>
      </c>
      <c r="J172" s="13">
        <f t="shared" si="49"/>
        <v>936319</v>
      </c>
      <c r="K172" s="13">
        <f t="shared" si="49"/>
        <v>894400</v>
      </c>
      <c r="L172" s="13">
        <f t="shared" si="49"/>
        <v>991400</v>
      </c>
      <c r="M172" s="13">
        <f t="shared" si="49"/>
        <v>1075502.9</v>
      </c>
      <c r="N172" s="13">
        <f t="shared" si="49"/>
        <v>996900</v>
      </c>
      <c r="O172" s="13">
        <f t="shared" si="49"/>
        <v>1279400</v>
      </c>
      <c r="P172" s="13">
        <f t="shared" si="49"/>
        <v>988900</v>
      </c>
      <c r="Q172" s="13">
        <f t="shared" si="49"/>
        <v>882400</v>
      </c>
      <c r="R172" s="13">
        <f t="shared" si="49"/>
        <v>905400</v>
      </c>
      <c r="S172" s="13">
        <f t="shared" si="49"/>
        <v>905700</v>
      </c>
      <c r="T172" s="13">
        <f t="shared" si="49"/>
        <v>887685.1200000001</v>
      </c>
      <c r="U172" s="101"/>
      <c r="V172" s="87">
        <f>SUM(I172:T172)</f>
        <v>11573020.02</v>
      </c>
    </row>
    <row r="173" spans="1:22" ht="12.75">
      <c r="A173" s="60"/>
      <c r="B173" s="43"/>
      <c r="C173" s="12"/>
      <c r="D173" s="12"/>
      <c r="E173" s="12"/>
      <c r="F173" s="12"/>
      <c r="G173" s="31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104"/>
      <c r="V173" s="15"/>
    </row>
    <row r="174" spans="1:22" ht="75" customHeight="1">
      <c r="A174" s="62" t="s">
        <v>87</v>
      </c>
      <c r="B174" s="90" t="s">
        <v>147</v>
      </c>
      <c r="C174" s="37" t="s">
        <v>22</v>
      </c>
      <c r="D174" s="37">
        <v>63100000000</v>
      </c>
      <c r="E174" s="37"/>
      <c r="F174" s="37"/>
      <c r="G174" s="37"/>
      <c r="H174" s="13">
        <f>H175+H179+H180+H181+H183+H184+H187+H182+H186+H185</f>
        <v>9305800</v>
      </c>
      <c r="I174" s="13">
        <f aca="true" t="shared" si="50" ref="I174:T174">I175+I179+I180+I181+I183+I184+I187+I182+I186+I185</f>
        <v>447000</v>
      </c>
      <c r="J174" s="13">
        <f t="shared" si="50"/>
        <v>810019</v>
      </c>
      <c r="K174" s="13">
        <f t="shared" si="50"/>
        <v>768100</v>
      </c>
      <c r="L174" s="13">
        <f t="shared" si="50"/>
        <v>772100</v>
      </c>
      <c r="M174" s="13">
        <f t="shared" si="50"/>
        <v>849202.9</v>
      </c>
      <c r="N174" s="13">
        <f t="shared" si="50"/>
        <v>870600</v>
      </c>
      <c r="O174" s="13">
        <f t="shared" si="50"/>
        <v>853100</v>
      </c>
      <c r="P174" s="13">
        <f t="shared" si="50"/>
        <v>862600</v>
      </c>
      <c r="Q174" s="13">
        <f t="shared" si="50"/>
        <v>756100</v>
      </c>
      <c r="R174" s="13">
        <f t="shared" si="50"/>
        <v>779100</v>
      </c>
      <c r="S174" s="13">
        <f t="shared" si="50"/>
        <v>779400</v>
      </c>
      <c r="T174" s="13">
        <f t="shared" si="50"/>
        <v>758478.1000000001</v>
      </c>
      <c r="U174" s="101"/>
      <c r="V174" s="87">
        <f>I174+J174+K174+L174+M174+N174+O174+P174+Q174+R174+S174+T174</f>
        <v>9305800</v>
      </c>
    </row>
    <row r="175" spans="7:22" ht="12.75" hidden="1">
      <c r="G175" s="31"/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100"/>
      <c r="V175" s="87">
        <f aca="true" t="shared" si="51" ref="V175:V187">I175+J175+K175+L175+M175+N175+O175+P175+Q175+R175+S175+T175</f>
        <v>0</v>
      </c>
    </row>
    <row r="176" spans="1:22" ht="12.75" hidden="1">
      <c r="A176" s="56"/>
      <c r="B176" s="63"/>
      <c r="C176" s="16" t="s">
        <v>22</v>
      </c>
      <c r="D176" s="16">
        <v>6470160020</v>
      </c>
      <c r="E176" s="16">
        <v>244</v>
      </c>
      <c r="F176" s="16">
        <v>225</v>
      </c>
      <c r="G176" s="31"/>
      <c r="H176" s="2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00"/>
      <c r="V176" s="87">
        <f t="shared" si="51"/>
        <v>0</v>
      </c>
    </row>
    <row r="177" spans="1:22" ht="12.75" hidden="1">
      <c r="A177" s="56"/>
      <c r="B177" s="63"/>
      <c r="C177" s="16" t="s">
        <v>22</v>
      </c>
      <c r="D177" s="16">
        <v>6470160050</v>
      </c>
      <c r="E177" s="16">
        <v>244</v>
      </c>
      <c r="F177" s="16">
        <v>225</v>
      </c>
      <c r="G177" s="31"/>
      <c r="H177" s="2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00"/>
      <c r="V177" s="87">
        <f t="shared" si="51"/>
        <v>0</v>
      </c>
    </row>
    <row r="178" spans="1:22" ht="12.75" hidden="1">
      <c r="A178" s="56"/>
      <c r="B178" s="63"/>
      <c r="C178" s="16" t="s">
        <v>22</v>
      </c>
      <c r="D178" s="16">
        <v>6470160170</v>
      </c>
      <c r="E178" s="16">
        <v>244</v>
      </c>
      <c r="F178" s="16">
        <v>225</v>
      </c>
      <c r="G178" s="31"/>
      <c r="H178" s="2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00"/>
      <c r="V178" s="87">
        <f t="shared" si="51"/>
        <v>0</v>
      </c>
    </row>
    <row r="179" spans="1:22" ht="102">
      <c r="A179" s="56" t="s">
        <v>87</v>
      </c>
      <c r="B179" s="109" t="s">
        <v>178</v>
      </c>
      <c r="C179" s="10" t="s">
        <v>22</v>
      </c>
      <c r="D179" s="38">
        <v>6310100590</v>
      </c>
      <c r="E179" s="10">
        <v>611</v>
      </c>
      <c r="F179" s="10">
        <v>111</v>
      </c>
      <c r="G179" s="10">
        <v>211</v>
      </c>
      <c r="H179" s="14">
        <v>5512200</v>
      </c>
      <c r="I179" s="14">
        <f>190000-87202.9</f>
        <v>102797.1</v>
      </c>
      <c r="J179" s="14">
        <v>459400</v>
      </c>
      <c r="K179" s="14">
        <v>459400</v>
      </c>
      <c r="L179" s="14">
        <v>459400</v>
      </c>
      <c r="M179" s="14">
        <f>459400+87202.9</f>
        <v>546602.9</v>
      </c>
      <c r="N179" s="14">
        <v>559400</v>
      </c>
      <c r="O179" s="14">
        <v>559400</v>
      </c>
      <c r="P179" s="14">
        <v>559400</v>
      </c>
      <c r="Q179" s="14">
        <v>459400</v>
      </c>
      <c r="R179" s="14">
        <v>459400</v>
      </c>
      <c r="S179" s="14">
        <f>617400-190000</f>
        <v>427400</v>
      </c>
      <c r="T179" s="14">
        <v>460200</v>
      </c>
      <c r="U179" s="100"/>
      <c r="V179" s="106">
        <f t="shared" si="51"/>
        <v>5512200</v>
      </c>
    </row>
    <row r="180" spans="1:22" ht="102">
      <c r="A180" s="56" t="s">
        <v>87</v>
      </c>
      <c r="B180" s="109" t="s">
        <v>179</v>
      </c>
      <c r="C180" s="10" t="s">
        <v>22</v>
      </c>
      <c r="D180" s="38">
        <v>6310100590</v>
      </c>
      <c r="E180" s="10">
        <v>611</v>
      </c>
      <c r="F180" s="10">
        <v>119</v>
      </c>
      <c r="G180" s="10">
        <v>219</v>
      </c>
      <c r="H180" s="14">
        <v>1664700</v>
      </c>
      <c r="I180" s="14">
        <v>55600</v>
      </c>
      <c r="J180" s="14">
        <v>138800</v>
      </c>
      <c r="K180" s="14">
        <v>138800</v>
      </c>
      <c r="L180" s="14">
        <v>138800</v>
      </c>
      <c r="M180" s="14">
        <v>138800</v>
      </c>
      <c r="N180" s="14">
        <v>155400</v>
      </c>
      <c r="O180" s="14">
        <v>155400</v>
      </c>
      <c r="P180" s="14">
        <v>155400</v>
      </c>
      <c r="Q180" s="14">
        <v>138800</v>
      </c>
      <c r="R180" s="14">
        <v>138800</v>
      </c>
      <c r="S180" s="14">
        <f>226700-55600</f>
        <v>171100</v>
      </c>
      <c r="T180" s="14">
        <v>139000</v>
      </c>
      <c r="U180" s="100"/>
      <c r="V180" s="106">
        <f t="shared" si="51"/>
        <v>1664700</v>
      </c>
    </row>
    <row r="181" spans="1:22" ht="89.25">
      <c r="A181" s="56" t="s">
        <v>87</v>
      </c>
      <c r="B181" s="48" t="s">
        <v>181</v>
      </c>
      <c r="C181" s="10" t="s">
        <v>22</v>
      </c>
      <c r="D181" s="38">
        <v>6310100590</v>
      </c>
      <c r="E181" s="10">
        <v>611</v>
      </c>
      <c r="F181" s="10">
        <v>221</v>
      </c>
      <c r="G181" s="63" t="s">
        <v>218</v>
      </c>
      <c r="H181" s="14">
        <v>45600</v>
      </c>
      <c r="I181" s="14">
        <f>3800-3338.78</f>
        <v>461.2199999999998</v>
      </c>
      <c r="J181" s="14">
        <v>3800</v>
      </c>
      <c r="K181" s="14">
        <v>3800</v>
      </c>
      <c r="L181" s="14">
        <v>3800</v>
      </c>
      <c r="M181" s="14">
        <v>3800</v>
      </c>
      <c r="N181" s="14">
        <v>3800</v>
      </c>
      <c r="O181" s="14">
        <v>3800</v>
      </c>
      <c r="P181" s="14">
        <v>3800</v>
      </c>
      <c r="Q181" s="14">
        <v>3800</v>
      </c>
      <c r="R181" s="14">
        <v>3800</v>
      </c>
      <c r="S181" s="14">
        <v>3800</v>
      </c>
      <c r="T181" s="14">
        <f>3800+3338.78</f>
        <v>7138.780000000001</v>
      </c>
      <c r="U181" s="100"/>
      <c r="V181" s="106">
        <f t="shared" si="51"/>
        <v>45600</v>
      </c>
    </row>
    <row r="182" spans="1:22" ht="114.75">
      <c r="A182" s="56" t="s">
        <v>87</v>
      </c>
      <c r="B182" s="110" t="s">
        <v>180</v>
      </c>
      <c r="C182" s="10" t="s">
        <v>22</v>
      </c>
      <c r="D182" s="38">
        <v>6310100590</v>
      </c>
      <c r="E182" s="10">
        <v>611</v>
      </c>
      <c r="F182" s="10">
        <v>223</v>
      </c>
      <c r="G182" s="63" t="s">
        <v>219</v>
      </c>
      <c r="H182" s="14">
        <v>632300</v>
      </c>
      <c r="I182" s="14">
        <f>72600-38965.79+1060.27</f>
        <v>34694.479999999996</v>
      </c>
      <c r="J182" s="14">
        <v>72600</v>
      </c>
      <c r="K182" s="14">
        <v>52600</v>
      </c>
      <c r="L182" s="14">
        <v>52600</v>
      </c>
      <c r="M182" s="14">
        <v>46500</v>
      </c>
      <c r="N182" s="14">
        <v>30000</v>
      </c>
      <c r="O182" s="14">
        <v>30000</v>
      </c>
      <c r="P182" s="14">
        <v>30000</v>
      </c>
      <c r="Q182" s="14">
        <v>47600</v>
      </c>
      <c r="R182" s="14">
        <v>72600</v>
      </c>
      <c r="S182" s="14">
        <v>72600</v>
      </c>
      <c r="T182" s="14">
        <f>52600+38965.79-1060.27</f>
        <v>90505.52</v>
      </c>
      <c r="U182" s="100"/>
      <c r="V182" s="106">
        <f t="shared" si="51"/>
        <v>632300</v>
      </c>
    </row>
    <row r="183" spans="1:22" ht="114.75">
      <c r="A183" s="56" t="s">
        <v>87</v>
      </c>
      <c r="B183" s="48" t="s">
        <v>182</v>
      </c>
      <c r="C183" s="10" t="s">
        <v>22</v>
      </c>
      <c r="D183" s="38">
        <v>6310100590</v>
      </c>
      <c r="E183" s="10">
        <v>611</v>
      </c>
      <c r="F183" s="10">
        <v>290</v>
      </c>
      <c r="G183" s="63" t="s">
        <v>220</v>
      </c>
      <c r="H183" s="14">
        <v>100000</v>
      </c>
      <c r="I183" s="14">
        <f>40000-30919</f>
        <v>9081</v>
      </c>
      <c r="J183" s="14">
        <v>30919</v>
      </c>
      <c r="K183" s="14">
        <v>9000</v>
      </c>
      <c r="L183" s="14">
        <v>13000</v>
      </c>
      <c r="M183" s="14">
        <v>9000</v>
      </c>
      <c r="N183" s="14">
        <v>17500</v>
      </c>
      <c r="O183" s="14">
        <v>0</v>
      </c>
      <c r="P183" s="14">
        <v>9500</v>
      </c>
      <c r="Q183" s="14">
        <v>2000</v>
      </c>
      <c r="R183" s="14">
        <v>0</v>
      </c>
      <c r="S183" s="14">
        <v>0</v>
      </c>
      <c r="T183" s="14">
        <v>0</v>
      </c>
      <c r="U183" s="100"/>
      <c r="V183" s="106">
        <f t="shared" si="51"/>
        <v>100000</v>
      </c>
    </row>
    <row r="184" spans="1:22" ht="114.75">
      <c r="A184" s="56" t="s">
        <v>87</v>
      </c>
      <c r="B184" s="48" t="s">
        <v>183</v>
      </c>
      <c r="C184" s="10" t="s">
        <v>22</v>
      </c>
      <c r="D184" s="38">
        <v>6310100590</v>
      </c>
      <c r="E184" s="10">
        <v>611</v>
      </c>
      <c r="F184" s="10">
        <v>340</v>
      </c>
      <c r="G184" s="63" t="s">
        <v>221</v>
      </c>
      <c r="H184" s="14">
        <v>678600</v>
      </c>
      <c r="I184" s="14">
        <f>60000+30345.75+37290.45</f>
        <v>127636.2</v>
      </c>
      <c r="J184" s="14">
        <v>53400</v>
      </c>
      <c r="K184" s="14">
        <v>53400</v>
      </c>
      <c r="L184" s="14">
        <v>53400</v>
      </c>
      <c r="M184" s="14">
        <v>53400</v>
      </c>
      <c r="N184" s="14">
        <v>53400</v>
      </c>
      <c r="O184" s="14">
        <v>53400</v>
      </c>
      <c r="P184" s="14">
        <v>53400</v>
      </c>
      <c r="Q184" s="14">
        <v>53400</v>
      </c>
      <c r="R184" s="14">
        <v>53400</v>
      </c>
      <c r="S184" s="14">
        <v>53400</v>
      </c>
      <c r="T184" s="14">
        <f>53400+854.25-37290.45</f>
        <v>16963.800000000003</v>
      </c>
      <c r="U184" s="100"/>
      <c r="V184" s="106">
        <f t="shared" si="51"/>
        <v>678600</v>
      </c>
    </row>
    <row r="185" spans="1:22" ht="114.75">
      <c r="A185" s="56" t="s">
        <v>87</v>
      </c>
      <c r="B185" s="48" t="s">
        <v>183</v>
      </c>
      <c r="C185" s="10" t="s">
        <v>22</v>
      </c>
      <c r="D185" s="38">
        <v>6310100590</v>
      </c>
      <c r="E185" s="10">
        <v>611</v>
      </c>
      <c r="F185" s="10"/>
      <c r="G185" s="63" t="s">
        <v>222</v>
      </c>
      <c r="H185" s="14">
        <f>450360+40</f>
        <v>450400</v>
      </c>
      <c r="I185" s="14">
        <v>91530</v>
      </c>
      <c r="J185" s="14">
        <v>32600</v>
      </c>
      <c r="K185" s="14">
        <v>32600</v>
      </c>
      <c r="L185" s="14">
        <v>32600</v>
      </c>
      <c r="M185" s="14">
        <v>32600</v>
      </c>
      <c r="N185" s="14">
        <v>32600</v>
      </c>
      <c r="O185" s="14">
        <v>32600</v>
      </c>
      <c r="P185" s="14">
        <v>32600</v>
      </c>
      <c r="Q185" s="14">
        <v>32600</v>
      </c>
      <c r="R185" s="14">
        <v>32600</v>
      </c>
      <c r="S185" s="14">
        <v>32600</v>
      </c>
      <c r="T185" s="14">
        <f>32600+230+40</f>
        <v>32870</v>
      </c>
      <c r="U185" s="100"/>
      <c r="V185" s="106">
        <f t="shared" si="51"/>
        <v>450400</v>
      </c>
    </row>
    <row r="186" spans="1:22" ht="114.75" hidden="1">
      <c r="A186" s="56" t="s">
        <v>87</v>
      </c>
      <c r="B186" s="48" t="s">
        <v>184</v>
      </c>
      <c r="C186" s="10" t="s">
        <v>22</v>
      </c>
      <c r="D186" s="38">
        <v>6310100590</v>
      </c>
      <c r="E186" s="10">
        <v>611</v>
      </c>
      <c r="F186" s="10">
        <v>340</v>
      </c>
      <c r="G186" s="63" t="s">
        <v>223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00"/>
      <c r="V186" s="106">
        <f t="shared" si="51"/>
        <v>0</v>
      </c>
    </row>
    <row r="187" spans="1:22" ht="114.75">
      <c r="A187" s="56" t="s">
        <v>87</v>
      </c>
      <c r="B187" s="48" t="s">
        <v>184</v>
      </c>
      <c r="C187" s="10" t="s">
        <v>22</v>
      </c>
      <c r="D187" s="38">
        <v>6310100590</v>
      </c>
      <c r="E187" s="10">
        <v>611</v>
      </c>
      <c r="F187" s="10">
        <v>226</v>
      </c>
      <c r="G187" s="63" t="s">
        <v>224</v>
      </c>
      <c r="H187" s="14">
        <f>80000+32000+100000+10000</f>
        <v>222000</v>
      </c>
      <c r="I187" s="14">
        <f>18500+6700</f>
        <v>25200</v>
      </c>
      <c r="J187" s="14">
        <v>18500</v>
      </c>
      <c r="K187" s="14">
        <v>18500</v>
      </c>
      <c r="L187" s="14">
        <v>18500</v>
      </c>
      <c r="M187" s="14">
        <v>18500</v>
      </c>
      <c r="N187" s="14">
        <v>18500</v>
      </c>
      <c r="O187" s="14">
        <v>18500</v>
      </c>
      <c r="P187" s="14">
        <v>18500</v>
      </c>
      <c r="Q187" s="14">
        <v>18500</v>
      </c>
      <c r="R187" s="14">
        <v>18500</v>
      </c>
      <c r="S187" s="14">
        <v>18500</v>
      </c>
      <c r="T187" s="14">
        <f>18500-6700</f>
        <v>11800</v>
      </c>
      <c r="U187" s="100"/>
      <c r="V187" s="106">
        <f t="shared" si="51"/>
        <v>222000</v>
      </c>
    </row>
    <row r="188" spans="1:22" ht="73.5" customHeight="1">
      <c r="A188" s="56" t="s">
        <v>87</v>
      </c>
      <c r="B188" s="90" t="s">
        <v>154</v>
      </c>
      <c r="C188" s="37" t="s">
        <v>22</v>
      </c>
      <c r="D188" s="37">
        <v>63200000000</v>
      </c>
      <c r="E188" s="37"/>
      <c r="F188" s="37"/>
      <c r="G188" s="90"/>
      <c r="H188" s="13">
        <f>H189+H190+H191+H192+H193</f>
        <v>1729220.02</v>
      </c>
      <c r="I188" s="13">
        <f aca="true" t="shared" si="52" ref="I188:T188">I189+I190+I191+I192+I193</f>
        <v>37013</v>
      </c>
      <c r="J188" s="13">
        <f t="shared" si="52"/>
        <v>126300</v>
      </c>
      <c r="K188" s="13">
        <f t="shared" si="52"/>
        <v>126300</v>
      </c>
      <c r="L188" s="13">
        <f t="shared" si="52"/>
        <v>126300</v>
      </c>
      <c r="M188" s="13">
        <f t="shared" si="52"/>
        <v>126300</v>
      </c>
      <c r="N188" s="13">
        <f t="shared" si="52"/>
        <v>126300</v>
      </c>
      <c r="O188" s="13">
        <f t="shared" si="52"/>
        <v>426300</v>
      </c>
      <c r="P188" s="13">
        <f t="shared" si="52"/>
        <v>126300</v>
      </c>
      <c r="Q188" s="13">
        <f t="shared" si="52"/>
        <v>126300</v>
      </c>
      <c r="R188" s="13">
        <f t="shared" si="52"/>
        <v>126300</v>
      </c>
      <c r="S188" s="13">
        <f t="shared" si="52"/>
        <v>126300</v>
      </c>
      <c r="T188" s="13">
        <f t="shared" si="52"/>
        <v>129207.02</v>
      </c>
      <c r="U188" s="100"/>
      <c r="V188" s="87">
        <f>SUM(I188:T188)</f>
        <v>1729220.02</v>
      </c>
    </row>
    <row r="189" spans="1:22" ht="25.5" hidden="1">
      <c r="A189" s="56" t="s">
        <v>87</v>
      </c>
      <c r="B189" s="110" t="s">
        <v>168</v>
      </c>
      <c r="C189" s="10" t="s">
        <v>22</v>
      </c>
      <c r="D189" s="38">
        <v>6320110340</v>
      </c>
      <c r="E189" s="10">
        <v>247</v>
      </c>
      <c r="F189" s="10">
        <v>223</v>
      </c>
      <c r="G189" s="63"/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00"/>
      <c r="V189" s="15">
        <f>T189+S189+R189+Q189+P189+O189+N189+M189+L189+K189+J189+I189</f>
        <v>0</v>
      </c>
    </row>
    <row r="190" spans="1:22" ht="63.75">
      <c r="A190" s="56" t="s">
        <v>87</v>
      </c>
      <c r="B190" s="48" t="s">
        <v>157</v>
      </c>
      <c r="C190" s="10" t="s">
        <v>22</v>
      </c>
      <c r="D190" s="38">
        <v>6320110340</v>
      </c>
      <c r="E190" s="10">
        <v>244</v>
      </c>
      <c r="F190" s="10">
        <v>226</v>
      </c>
      <c r="G190" s="63" t="s">
        <v>225</v>
      </c>
      <c r="H190" s="14">
        <v>177987.02</v>
      </c>
      <c r="I190" s="14">
        <v>27500</v>
      </c>
      <c r="J190" s="14">
        <v>13600</v>
      </c>
      <c r="K190" s="14">
        <v>13600</v>
      </c>
      <c r="L190" s="14">
        <v>13600</v>
      </c>
      <c r="M190" s="14">
        <v>13600</v>
      </c>
      <c r="N190" s="14">
        <v>13600</v>
      </c>
      <c r="O190" s="14">
        <v>13600</v>
      </c>
      <c r="P190" s="14">
        <v>13600</v>
      </c>
      <c r="Q190" s="14">
        <v>13600</v>
      </c>
      <c r="R190" s="14">
        <v>13600</v>
      </c>
      <c r="S190" s="14">
        <v>13600</v>
      </c>
      <c r="T190" s="14">
        <f>13600+887.02</f>
        <v>14487.02</v>
      </c>
      <c r="U190" s="100"/>
      <c r="V190" s="15">
        <f>T190+S190+R190+Q190+P190+O190+N190+M190+L190+K190+J190+I190</f>
        <v>177987.02000000002</v>
      </c>
    </row>
    <row r="191" spans="1:22" ht="51">
      <c r="A191" s="56" t="s">
        <v>87</v>
      </c>
      <c r="B191" s="48" t="s">
        <v>157</v>
      </c>
      <c r="C191" s="10" t="s">
        <v>22</v>
      </c>
      <c r="D191" s="38">
        <v>6320110340</v>
      </c>
      <c r="E191" s="10">
        <v>244</v>
      </c>
      <c r="F191" s="10">
        <v>225</v>
      </c>
      <c r="G191" s="63" t="s">
        <v>224</v>
      </c>
      <c r="H191" s="14">
        <v>437720</v>
      </c>
      <c r="I191" s="14">
        <v>7500</v>
      </c>
      <c r="J191" s="14">
        <v>39000</v>
      </c>
      <c r="K191" s="14">
        <v>39000</v>
      </c>
      <c r="L191" s="14">
        <v>39000</v>
      </c>
      <c r="M191" s="14">
        <v>39000</v>
      </c>
      <c r="N191" s="14">
        <v>39000</v>
      </c>
      <c r="O191" s="14">
        <v>39000</v>
      </c>
      <c r="P191" s="14">
        <v>39000</v>
      </c>
      <c r="Q191" s="14">
        <v>39000</v>
      </c>
      <c r="R191" s="14">
        <v>39000</v>
      </c>
      <c r="S191" s="14">
        <v>39000</v>
      </c>
      <c r="T191" s="14">
        <f>39000+1220</f>
        <v>40220</v>
      </c>
      <c r="U191" s="100"/>
      <c r="V191" s="15">
        <f>T191+S191+R191+Q191+P191+O191+N191+M191+L191+K191+J191+I191</f>
        <v>437720</v>
      </c>
    </row>
    <row r="192" spans="1:22" ht="38.25">
      <c r="A192" s="56" t="s">
        <v>87</v>
      </c>
      <c r="B192" s="48" t="s">
        <v>158</v>
      </c>
      <c r="C192" s="10" t="s">
        <v>22</v>
      </c>
      <c r="D192" s="38">
        <v>6320110340</v>
      </c>
      <c r="E192" s="10">
        <v>244</v>
      </c>
      <c r="F192" s="10">
        <v>340</v>
      </c>
      <c r="G192" s="63" t="s">
        <v>222</v>
      </c>
      <c r="H192" s="14">
        <v>813513</v>
      </c>
      <c r="I192" s="14">
        <v>2013</v>
      </c>
      <c r="J192" s="14">
        <v>73700</v>
      </c>
      <c r="K192" s="14">
        <v>73700</v>
      </c>
      <c r="L192" s="14">
        <v>73700</v>
      </c>
      <c r="M192" s="14">
        <v>73700</v>
      </c>
      <c r="N192" s="14">
        <v>73700</v>
      </c>
      <c r="O192" s="14">
        <v>73700</v>
      </c>
      <c r="P192" s="14">
        <v>73700</v>
      </c>
      <c r="Q192" s="14">
        <v>73700</v>
      </c>
      <c r="R192" s="14">
        <v>73700</v>
      </c>
      <c r="S192" s="14">
        <v>73700</v>
      </c>
      <c r="T192" s="14">
        <f>73700+800</f>
        <v>74500</v>
      </c>
      <c r="U192" s="100"/>
      <c r="V192" s="15">
        <f>T192+S192+R192+Q192+P192+O192+N192+M192+L192+K192+J192+I192</f>
        <v>813513</v>
      </c>
    </row>
    <row r="193" spans="1:22" ht="30" customHeight="1">
      <c r="A193" s="56" t="s">
        <v>87</v>
      </c>
      <c r="B193" s="48" t="s">
        <v>157</v>
      </c>
      <c r="C193" s="10" t="s">
        <v>22</v>
      </c>
      <c r="D193" s="38">
        <v>6320210380</v>
      </c>
      <c r="E193" s="10">
        <v>244</v>
      </c>
      <c r="F193" s="10"/>
      <c r="G193" s="63" t="s">
        <v>226</v>
      </c>
      <c r="H193" s="14">
        <v>300000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300000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00"/>
      <c r="V193" s="15">
        <f>T193+S193+R193+Q193+P193+O193+N193+M193+L193+K193+J193+I193</f>
        <v>300000</v>
      </c>
    </row>
    <row r="194" spans="1:22" ht="12.75">
      <c r="A194" s="56"/>
      <c r="B194" s="63"/>
      <c r="C194" s="16"/>
      <c r="D194" s="16"/>
      <c r="E194" s="10"/>
      <c r="F194" s="16"/>
      <c r="G194" s="31"/>
      <c r="H194" s="29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 t="s">
        <v>94</v>
      </c>
      <c r="T194" s="14"/>
      <c r="U194" s="100"/>
      <c r="V194" s="15"/>
    </row>
    <row r="195" spans="1:22" ht="80.25" customHeight="1">
      <c r="A195" s="62" t="s">
        <v>87</v>
      </c>
      <c r="B195" s="90" t="s">
        <v>127</v>
      </c>
      <c r="C195" s="37" t="s">
        <v>22</v>
      </c>
      <c r="D195" s="37">
        <v>63300000000</v>
      </c>
      <c r="E195" s="37"/>
      <c r="F195" s="37"/>
      <c r="G195" s="37"/>
      <c r="H195" s="13">
        <f aca="true" t="shared" si="53" ref="H195:T195">H196</f>
        <v>538000</v>
      </c>
      <c r="I195" s="13">
        <f t="shared" si="53"/>
        <v>345000</v>
      </c>
      <c r="J195" s="13">
        <f t="shared" si="53"/>
        <v>0</v>
      </c>
      <c r="K195" s="13">
        <f t="shared" si="53"/>
        <v>0</v>
      </c>
      <c r="L195" s="13">
        <f t="shared" si="53"/>
        <v>93000</v>
      </c>
      <c r="M195" s="13">
        <f t="shared" si="53"/>
        <v>100000</v>
      </c>
      <c r="N195" s="13">
        <f t="shared" si="53"/>
        <v>0</v>
      </c>
      <c r="O195" s="13">
        <f t="shared" si="53"/>
        <v>0</v>
      </c>
      <c r="P195" s="13">
        <f t="shared" si="53"/>
        <v>0</v>
      </c>
      <c r="Q195" s="13">
        <f t="shared" si="53"/>
        <v>0</v>
      </c>
      <c r="R195" s="13">
        <f t="shared" si="53"/>
        <v>0</v>
      </c>
      <c r="S195" s="13">
        <f t="shared" si="53"/>
        <v>0</v>
      </c>
      <c r="T195" s="13">
        <f t="shared" si="53"/>
        <v>0</v>
      </c>
      <c r="U195" s="101"/>
      <c r="V195" s="87">
        <f aca="true" t="shared" si="54" ref="V195:V207">SUM(I195:T195)</f>
        <v>538000</v>
      </c>
    </row>
    <row r="196" spans="1:22" ht="24.75" customHeight="1">
      <c r="A196" s="56" t="s">
        <v>87</v>
      </c>
      <c r="B196" s="48" t="s">
        <v>158</v>
      </c>
      <c r="C196" s="10" t="s">
        <v>22</v>
      </c>
      <c r="D196" s="10">
        <v>6330110350</v>
      </c>
      <c r="E196" s="10">
        <v>244</v>
      </c>
      <c r="F196" s="10">
        <v>225</v>
      </c>
      <c r="G196" s="31"/>
      <c r="H196" s="14">
        <f>525000+13000</f>
        <v>538000</v>
      </c>
      <c r="I196" s="14">
        <v>345000</v>
      </c>
      <c r="J196" s="14">
        <v>0</v>
      </c>
      <c r="K196" s="14">
        <v>0</v>
      </c>
      <c r="L196" s="14">
        <f>162500-69500</f>
        <v>93000</v>
      </c>
      <c r="M196" s="14">
        <v>100000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00"/>
      <c r="V196" s="15">
        <f t="shared" si="54"/>
        <v>538000</v>
      </c>
    </row>
    <row r="197" spans="1:22" ht="12.75" hidden="1">
      <c r="A197" s="56"/>
      <c r="B197" s="23"/>
      <c r="C197" s="16"/>
      <c r="D197" s="16"/>
      <c r="E197" s="16"/>
      <c r="F197" s="16"/>
      <c r="G197" s="31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00"/>
      <c r="V197" s="15">
        <f t="shared" si="54"/>
        <v>0</v>
      </c>
    </row>
    <row r="198" spans="1:22" ht="12.75" hidden="1">
      <c r="A198" s="56"/>
      <c r="B198" s="23"/>
      <c r="C198" s="16"/>
      <c r="D198" s="16"/>
      <c r="E198" s="16"/>
      <c r="F198" s="16"/>
      <c r="G198" s="31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00"/>
      <c r="V198" s="15">
        <f t="shared" si="54"/>
        <v>0</v>
      </c>
    </row>
    <row r="199" spans="1:22" ht="12.75" hidden="1">
      <c r="A199" s="56"/>
      <c r="B199" s="23"/>
      <c r="C199" s="16"/>
      <c r="D199" s="16"/>
      <c r="E199" s="16"/>
      <c r="F199" s="16"/>
      <c r="G199" s="31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00"/>
      <c r="V199" s="15">
        <f t="shared" si="54"/>
        <v>0</v>
      </c>
    </row>
    <row r="200" spans="1:22" ht="12.75" hidden="1">
      <c r="A200" s="56"/>
      <c r="B200" s="23"/>
      <c r="C200" s="16"/>
      <c r="D200" s="16"/>
      <c r="E200" s="16"/>
      <c r="F200" s="16"/>
      <c r="G200" s="31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00"/>
      <c r="V200" s="15">
        <f t="shared" si="54"/>
        <v>0</v>
      </c>
    </row>
    <row r="201" spans="1:22" ht="12.75" hidden="1">
      <c r="A201" s="56"/>
      <c r="B201" s="23"/>
      <c r="C201" s="16"/>
      <c r="D201" s="16"/>
      <c r="E201" s="16"/>
      <c r="F201" s="16"/>
      <c r="G201" s="31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00"/>
      <c r="V201" s="15">
        <f t="shared" si="54"/>
        <v>0</v>
      </c>
    </row>
    <row r="202" spans="1:22" ht="12.75" hidden="1">
      <c r="A202" s="56"/>
      <c r="B202" s="23"/>
      <c r="C202" s="16"/>
      <c r="D202" s="16"/>
      <c r="E202" s="16"/>
      <c r="F202" s="16"/>
      <c r="G202" s="31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00"/>
      <c r="V202" s="15">
        <f t="shared" si="54"/>
        <v>0</v>
      </c>
    </row>
    <row r="203" spans="1:22" ht="12.75" hidden="1">
      <c r="A203" s="56"/>
      <c r="B203" s="23"/>
      <c r="C203" s="16"/>
      <c r="D203" s="16"/>
      <c r="E203" s="16"/>
      <c r="F203" s="16"/>
      <c r="G203" s="31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00"/>
      <c r="V203" s="15">
        <f t="shared" si="54"/>
        <v>0</v>
      </c>
    </row>
    <row r="204" spans="1:22" ht="12.75" hidden="1">
      <c r="A204" s="56"/>
      <c r="B204" s="23"/>
      <c r="C204" s="16"/>
      <c r="D204" s="16"/>
      <c r="E204" s="16"/>
      <c r="F204" s="16"/>
      <c r="G204" s="31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00"/>
      <c r="V204" s="15">
        <f t="shared" si="54"/>
        <v>0</v>
      </c>
    </row>
    <row r="205" spans="1:22" ht="12.75" hidden="1">
      <c r="A205" s="56"/>
      <c r="B205" s="23"/>
      <c r="C205" s="16"/>
      <c r="D205" s="16"/>
      <c r="E205" s="16"/>
      <c r="F205" s="16"/>
      <c r="G205" s="31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00"/>
      <c r="V205" s="15">
        <f t="shared" si="54"/>
        <v>0</v>
      </c>
    </row>
    <row r="206" spans="1:22" ht="12.75" hidden="1">
      <c r="A206" s="56"/>
      <c r="B206" s="23"/>
      <c r="C206" s="16"/>
      <c r="D206" s="16"/>
      <c r="E206" s="16"/>
      <c r="F206" s="16"/>
      <c r="G206" s="31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00"/>
      <c r="V206" s="15">
        <f t="shared" si="54"/>
        <v>0</v>
      </c>
    </row>
    <row r="207" spans="1:22" ht="12.75">
      <c r="A207" s="60"/>
      <c r="B207" s="43"/>
      <c r="C207" s="12"/>
      <c r="D207" s="12"/>
      <c r="E207" s="12"/>
      <c r="F207" s="12"/>
      <c r="G207" s="31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104"/>
      <c r="V207" s="15">
        <f t="shared" si="54"/>
        <v>0</v>
      </c>
    </row>
    <row r="208" spans="1:22" ht="12.75">
      <c r="A208" s="60"/>
      <c r="B208" s="25" t="s">
        <v>45</v>
      </c>
      <c r="C208" s="25" t="s">
        <v>22</v>
      </c>
      <c r="D208" s="12"/>
      <c r="E208" s="12"/>
      <c r="F208" s="12"/>
      <c r="G208" s="31"/>
      <c r="H208" s="30">
        <f aca="true" t="shared" si="55" ref="H208:T208">H170+H195+H174+H188</f>
        <v>11623020.02</v>
      </c>
      <c r="I208" s="30">
        <f t="shared" si="55"/>
        <v>829013</v>
      </c>
      <c r="J208" s="30">
        <f t="shared" si="55"/>
        <v>936319</v>
      </c>
      <c r="K208" s="30">
        <f t="shared" si="55"/>
        <v>894400</v>
      </c>
      <c r="L208" s="30">
        <f t="shared" si="55"/>
        <v>991400</v>
      </c>
      <c r="M208" s="30">
        <f t="shared" si="55"/>
        <v>1075502.9</v>
      </c>
      <c r="N208" s="30">
        <f t="shared" si="55"/>
        <v>996900</v>
      </c>
      <c r="O208" s="30">
        <f t="shared" si="55"/>
        <v>1279400</v>
      </c>
      <c r="P208" s="30">
        <f t="shared" si="55"/>
        <v>988900</v>
      </c>
      <c r="Q208" s="30">
        <f t="shared" si="55"/>
        <v>932400</v>
      </c>
      <c r="R208" s="30">
        <f t="shared" si="55"/>
        <v>905400</v>
      </c>
      <c r="S208" s="30">
        <f t="shared" si="55"/>
        <v>905700</v>
      </c>
      <c r="T208" s="30">
        <f t="shared" si="55"/>
        <v>887685.1200000001</v>
      </c>
      <c r="U208" s="102"/>
      <c r="V208" s="47">
        <f>V195+V188+V174+V170</f>
        <v>11623020.02</v>
      </c>
    </row>
    <row r="209" spans="1:22" ht="12.75">
      <c r="A209" s="60"/>
      <c r="B209" s="43"/>
      <c r="C209" s="12"/>
      <c r="D209" s="12"/>
      <c r="E209" s="12"/>
      <c r="F209" s="12"/>
      <c r="G209" s="31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104"/>
      <c r="V209" s="15">
        <f>SUM(I209:T209)</f>
        <v>0</v>
      </c>
    </row>
    <row r="210" spans="1:22" ht="13.5" customHeight="1">
      <c r="A210" s="66"/>
      <c r="B210" s="92" t="s">
        <v>62</v>
      </c>
      <c r="C210" s="68"/>
      <c r="D210" s="68"/>
      <c r="E210" s="68"/>
      <c r="F210" s="68"/>
      <c r="G210" s="69"/>
      <c r="H210" s="42">
        <f aca="true" t="shared" si="56" ref="H210:T210">H208+H168</f>
        <v>11843020.02</v>
      </c>
      <c r="I210" s="42">
        <f t="shared" si="56"/>
        <v>829013</v>
      </c>
      <c r="J210" s="42">
        <f t="shared" si="56"/>
        <v>936319</v>
      </c>
      <c r="K210" s="42">
        <f t="shared" si="56"/>
        <v>894400</v>
      </c>
      <c r="L210" s="42">
        <f t="shared" si="56"/>
        <v>991400</v>
      </c>
      <c r="M210" s="42">
        <f t="shared" si="56"/>
        <v>1075502.9</v>
      </c>
      <c r="N210" s="42">
        <f t="shared" si="56"/>
        <v>996900</v>
      </c>
      <c r="O210" s="42">
        <f t="shared" si="56"/>
        <v>1329400</v>
      </c>
      <c r="P210" s="42">
        <f t="shared" si="56"/>
        <v>1038900</v>
      </c>
      <c r="Q210" s="42">
        <f t="shared" si="56"/>
        <v>1030700</v>
      </c>
      <c r="R210" s="42">
        <f t="shared" si="56"/>
        <v>905400</v>
      </c>
      <c r="S210" s="42">
        <f t="shared" si="56"/>
        <v>915700</v>
      </c>
      <c r="T210" s="42">
        <f t="shared" si="56"/>
        <v>899385.1200000001</v>
      </c>
      <c r="U210" s="104"/>
      <c r="V210" s="50">
        <f>V208+V168</f>
        <v>11843020.02</v>
      </c>
    </row>
    <row r="211" spans="1:22" ht="13.5" customHeight="1">
      <c r="A211" s="60"/>
      <c r="B211" s="43"/>
      <c r="C211" s="12"/>
      <c r="D211" s="12"/>
      <c r="E211" s="12"/>
      <c r="F211" s="12"/>
      <c r="G211" s="31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104"/>
      <c r="V211" s="50"/>
    </row>
    <row r="212" spans="1:22" ht="37.5" customHeight="1">
      <c r="A212" s="62" t="s">
        <v>87</v>
      </c>
      <c r="B212" s="90" t="s">
        <v>49</v>
      </c>
      <c r="C212" s="37" t="s">
        <v>106</v>
      </c>
      <c r="D212" s="37">
        <v>5230000000</v>
      </c>
      <c r="E212" s="37"/>
      <c r="F212" s="37"/>
      <c r="G212" s="37"/>
      <c r="H212" s="13">
        <f aca="true" t="shared" si="57" ref="H212:T212">H213</f>
        <v>54000</v>
      </c>
      <c r="I212" s="13">
        <f t="shared" si="57"/>
        <v>0</v>
      </c>
      <c r="J212" s="13">
        <f t="shared" si="57"/>
        <v>0</v>
      </c>
      <c r="K212" s="13">
        <f t="shared" si="57"/>
        <v>0</v>
      </c>
      <c r="L212" s="13">
        <f t="shared" si="57"/>
        <v>0</v>
      </c>
      <c r="M212" s="13">
        <f t="shared" si="57"/>
        <v>0</v>
      </c>
      <c r="N212" s="13">
        <f t="shared" si="57"/>
        <v>54000</v>
      </c>
      <c r="O212" s="13">
        <f t="shared" si="57"/>
        <v>0</v>
      </c>
      <c r="P212" s="13">
        <f t="shared" si="57"/>
        <v>0</v>
      </c>
      <c r="Q212" s="13">
        <f t="shared" si="57"/>
        <v>0</v>
      </c>
      <c r="R212" s="13">
        <f t="shared" si="57"/>
        <v>0</v>
      </c>
      <c r="S212" s="13">
        <f t="shared" si="57"/>
        <v>0</v>
      </c>
      <c r="T212" s="13">
        <f t="shared" si="57"/>
        <v>0</v>
      </c>
      <c r="U212" s="104"/>
      <c r="V212" s="125">
        <f>SUM(I212:T212)</f>
        <v>54000</v>
      </c>
    </row>
    <row r="213" spans="1:22" s="124" customFormat="1" ht="33.75" customHeight="1">
      <c r="A213" s="60" t="s">
        <v>87</v>
      </c>
      <c r="B213" s="48" t="s">
        <v>157</v>
      </c>
      <c r="C213" s="10" t="s">
        <v>106</v>
      </c>
      <c r="D213" s="10">
        <v>5210200590</v>
      </c>
      <c r="E213" s="10">
        <v>244</v>
      </c>
      <c r="F213" s="31"/>
      <c r="G213" s="31"/>
      <c r="H213" s="14">
        <v>54000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54000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23"/>
      <c r="V213" s="77">
        <f>K213</f>
        <v>0</v>
      </c>
    </row>
    <row r="214" spans="1:22" ht="13.5" customHeight="1">
      <c r="A214" s="60"/>
      <c r="B214" s="43"/>
      <c r="C214" s="12"/>
      <c r="D214" s="12"/>
      <c r="E214" s="31"/>
      <c r="F214" s="31"/>
      <c r="G214" s="31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104"/>
      <c r="V214" s="77">
        <f>K214</f>
        <v>0</v>
      </c>
    </row>
    <row r="215" spans="1:22" s="3" customFormat="1" ht="51">
      <c r="A215" s="62" t="s">
        <v>87</v>
      </c>
      <c r="B215" s="90" t="s">
        <v>52</v>
      </c>
      <c r="C215" s="37" t="s">
        <v>106</v>
      </c>
      <c r="D215" s="37">
        <v>5230000000</v>
      </c>
      <c r="E215" s="37"/>
      <c r="F215" s="37"/>
      <c r="G215" s="37"/>
      <c r="H215" s="13">
        <f>H216</f>
        <v>20000</v>
      </c>
      <c r="I215" s="13">
        <v>0</v>
      </c>
      <c r="J215" s="13">
        <v>0</v>
      </c>
      <c r="K215" s="13">
        <f>K216</f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01"/>
      <c r="V215" s="87">
        <f>K215</f>
        <v>0</v>
      </c>
    </row>
    <row r="216" spans="1:22" ht="25.5">
      <c r="A216" s="56" t="s">
        <v>87</v>
      </c>
      <c r="B216" s="48" t="s">
        <v>157</v>
      </c>
      <c r="C216" s="10" t="s">
        <v>106</v>
      </c>
      <c r="D216" s="23">
        <v>5230200590</v>
      </c>
      <c r="E216" s="10">
        <v>244</v>
      </c>
      <c r="F216" s="10">
        <v>226</v>
      </c>
      <c r="G216" s="31"/>
      <c r="H216" s="14">
        <v>20000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20000</v>
      </c>
      <c r="T216" s="14">
        <v>0</v>
      </c>
      <c r="U216" s="100"/>
      <c r="V216" s="15">
        <f>SUM(I216:T216)</f>
        <v>20000</v>
      </c>
    </row>
    <row r="217" spans="1:22" ht="51">
      <c r="A217" s="62" t="s">
        <v>87</v>
      </c>
      <c r="B217" s="90" t="s">
        <v>118</v>
      </c>
      <c r="C217" s="37" t="s">
        <v>106</v>
      </c>
      <c r="D217" s="37">
        <v>6400000000</v>
      </c>
      <c r="E217" s="37"/>
      <c r="F217" s="37"/>
      <c r="G217" s="37"/>
      <c r="H217" s="13">
        <f aca="true" t="shared" si="58" ref="H217:T217">H218</f>
        <v>20000</v>
      </c>
      <c r="I217" s="13">
        <f t="shared" si="58"/>
        <v>0</v>
      </c>
      <c r="J217" s="13">
        <f t="shared" si="58"/>
        <v>0</v>
      </c>
      <c r="K217" s="13">
        <f t="shared" si="58"/>
        <v>0</v>
      </c>
      <c r="L217" s="13">
        <f t="shared" si="58"/>
        <v>0</v>
      </c>
      <c r="M217" s="13">
        <f t="shared" si="58"/>
        <v>0</v>
      </c>
      <c r="N217" s="13">
        <f t="shared" si="58"/>
        <v>0</v>
      </c>
      <c r="O217" s="13">
        <f t="shared" si="58"/>
        <v>0</v>
      </c>
      <c r="P217" s="13">
        <f t="shared" si="58"/>
        <v>0</v>
      </c>
      <c r="Q217" s="13">
        <f t="shared" si="58"/>
        <v>0</v>
      </c>
      <c r="R217" s="13">
        <f t="shared" si="58"/>
        <v>0</v>
      </c>
      <c r="S217" s="13">
        <f t="shared" si="58"/>
        <v>20000</v>
      </c>
      <c r="T217" s="13">
        <f t="shared" si="58"/>
        <v>0</v>
      </c>
      <c r="U217" s="101"/>
      <c r="V217" s="87">
        <f>SUM(I217:T217)</f>
        <v>20000</v>
      </c>
    </row>
    <row r="218" spans="1:22" ht="25.5">
      <c r="A218" s="56" t="s">
        <v>87</v>
      </c>
      <c r="B218" s="48" t="s">
        <v>157</v>
      </c>
      <c r="C218" s="10" t="s">
        <v>106</v>
      </c>
      <c r="D218" s="10">
        <v>6410110120</v>
      </c>
      <c r="E218" s="10">
        <v>244</v>
      </c>
      <c r="F218" s="10">
        <v>226</v>
      </c>
      <c r="G218" s="14"/>
      <c r="H218" s="14">
        <v>20000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20000</v>
      </c>
      <c r="T218" s="14">
        <v>0</v>
      </c>
      <c r="U218" s="100"/>
      <c r="V218" s="15">
        <f>SUM(I218:T218)</f>
        <v>20000</v>
      </c>
    </row>
    <row r="219" spans="1:22" ht="16.5" customHeight="1">
      <c r="A219" s="56"/>
      <c r="B219" s="23"/>
      <c r="C219" s="10"/>
      <c r="D219" s="10"/>
      <c r="E219" s="10"/>
      <c r="F219" s="10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00"/>
      <c r="V219" s="15">
        <f>SUM(I219:T219)</f>
        <v>0</v>
      </c>
    </row>
    <row r="220" spans="1:22" ht="12.75">
      <c r="A220" s="56"/>
      <c r="B220" s="25" t="s">
        <v>45</v>
      </c>
      <c r="C220" s="61" t="s">
        <v>106</v>
      </c>
      <c r="D220" s="23"/>
      <c r="E220" s="31"/>
      <c r="F220" s="31"/>
      <c r="G220" s="31"/>
      <c r="H220" s="30">
        <f>H216+H218+H213</f>
        <v>94000</v>
      </c>
      <c r="I220" s="30">
        <f aca="true" t="shared" si="59" ref="I220:T220">I216+I218</f>
        <v>0</v>
      </c>
      <c r="J220" s="30">
        <f t="shared" si="59"/>
        <v>0</v>
      </c>
      <c r="K220" s="30">
        <f t="shared" si="59"/>
        <v>0</v>
      </c>
      <c r="L220" s="30">
        <f t="shared" si="59"/>
        <v>0</v>
      </c>
      <c r="M220" s="30">
        <f t="shared" si="59"/>
        <v>0</v>
      </c>
      <c r="N220" s="30">
        <f t="shared" si="59"/>
        <v>0</v>
      </c>
      <c r="O220" s="30">
        <f t="shared" si="59"/>
        <v>0</v>
      </c>
      <c r="P220" s="30">
        <f t="shared" si="59"/>
        <v>0</v>
      </c>
      <c r="Q220" s="30">
        <f t="shared" si="59"/>
        <v>0</v>
      </c>
      <c r="R220" s="30">
        <f t="shared" si="59"/>
        <v>0</v>
      </c>
      <c r="S220" s="30">
        <f t="shared" si="59"/>
        <v>40000</v>
      </c>
      <c r="T220" s="30">
        <f t="shared" si="59"/>
        <v>0</v>
      </c>
      <c r="U220" s="102"/>
      <c r="V220" s="47">
        <f>SUM(I220:T220)</f>
        <v>40000</v>
      </c>
    </row>
    <row r="221" spans="1:22" ht="12.75">
      <c r="A221" s="56"/>
      <c r="B221" s="25"/>
      <c r="C221" s="61"/>
      <c r="D221" s="23"/>
      <c r="E221" s="31"/>
      <c r="F221" s="31"/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102"/>
      <c r="V221" s="47"/>
    </row>
    <row r="222" spans="1:22" ht="12.75">
      <c r="A222" s="66"/>
      <c r="B222" s="92" t="s">
        <v>63</v>
      </c>
      <c r="C222" s="44"/>
      <c r="D222" s="44"/>
      <c r="E222" s="44"/>
      <c r="F222" s="44"/>
      <c r="G222" s="45"/>
      <c r="H222" s="42">
        <f aca="true" t="shared" si="60" ref="H222:T222">H220</f>
        <v>94000</v>
      </c>
      <c r="I222" s="42">
        <f t="shared" si="60"/>
        <v>0</v>
      </c>
      <c r="J222" s="42">
        <f t="shared" si="60"/>
        <v>0</v>
      </c>
      <c r="K222" s="42">
        <f t="shared" si="60"/>
        <v>0</v>
      </c>
      <c r="L222" s="42">
        <f t="shared" si="60"/>
        <v>0</v>
      </c>
      <c r="M222" s="42">
        <f t="shared" si="60"/>
        <v>0</v>
      </c>
      <c r="N222" s="42">
        <f t="shared" si="60"/>
        <v>0</v>
      </c>
      <c r="O222" s="42">
        <f t="shared" si="60"/>
        <v>0</v>
      </c>
      <c r="P222" s="42">
        <f t="shared" si="60"/>
        <v>0</v>
      </c>
      <c r="Q222" s="42">
        <f t="shared" si="60"/>
        <v>0</v>
      </c>
      <c r="R222" s="42">
        <f t="shared" si="60"/>
        <v>0</v>
      </c>
      <c r="S222" s="42">
        <f t="shared" si="60"/>
        <v>40000</v>
      </c>
      <c r="T222" s="42">
        <f t="shared" si="60"/>
        <v>0</v>
      </c>
      <c r="U222" s="104"/>
      <c r="V222" s="50">
        <f>SUM(I222:T222)</f>
        <v>40000</v>
      </c>
    </row>
    <row r="223" spans="1:22" ht="12.75">
      <c r="A223" s="60"/>
      <c r="B223" s="43"/>
      <c r="C223" s="16"/>
      <c r="D223" s="16"/>
      <c r="E223" s="16"/>
      <c r="F223" s="16"/>
      <c r="G223" s="10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00"/>
      <c r="V223" s="15">
        <f>SUM(I223:T223)</f>
        <v>0</v>
      </c>
    </row>
    <row r="224" spans="1:22" ht="66.75" customHeight="1">
      <c r="A224" s="62" t="s">
        <v>87</v>
      </c>
      <c r="B224" s="90" t="s">
        <v>128</v>
      </c>
      <c r="C224" s="37" t="s">
        <v>23</v>
      </c>
      <c r="D224" s="37">
        <v>6600000000</v>
      </c>
      <c r="E224" s="36"/>
      <c r="F224" s="36"/>
      <c r="G224" s="37"/>
      <c r="H224" s="13">
        <f aca="true" t="shared" si="61" ref="H224:T224">H227+H250+H265</f>
        <v>14043248</v>
      </c>
      <c r="I224" s="13">
        <f t="shared" si="61"/>
        <v>500800</v>
      </c>
      <c r="J224" s="13">
        <f t="shared" si="61"/>
        <v>1224600</v>
      </c>
      <c r="K224" s="13">
        <f t="shared" si="61"/>
        <v>1226100</v>
      </c>
      <c r="L224" s="13">
        <f t="shared" si="61"/>
        <v>1192222</v>
      </c>
      <c r="M224" s="13">
        <f t="shared" si="61"/>
        <v>1172001.7</v>
      </c>
      <c r="N224" s="13">
        <f t="shared" si="61"/>
        <v>1177000</v>
      </c>
      <c r="O224" s="13">
        <f t="shared" si="61"/>
        <v>1175600</v>
      </c>
      <c r="P224" s="13">
        <f t="shared" si="61"/>
        <v>1218374.96</v>
      </c>
      <c r="Q224" s="13">
        <f t="shared" si="61"/>
        <v>1101200</v>
      </c>
      <c r="R224" s="13">
        <f t="shared" si="61"/>
        <v>1357600</v>
      </c>
      <c r="S224" s="13">
        <f t="shared" si="61"/>
        <v>1420000</v>
      </c>
      <c r="T224" s="13">
        <f t="shared" si="61"/>
        <v>1277749.34</v>
      </c>
      <c r="U224" s="101"/>
      <c r="V224" s="87">
        <f>SUM(I224:T224)</f>
        <v>14043248</v>
      </c>
    </row>
    <row r="225" spans="1:22" ht="12.75">
      <c r="A225" s="60"/>
      <c r="B225" s="43"/>
      <c r="C225" s="12"/>
      <c r="D225" s="12"/>
      <c r="E225" s="12"/>
      <c r="F225" s="12"/>
      <c r="G225" s="31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104"/>
      <c r="V225" s="15">
        <f>SUM(I225:T225)</f>
        <v>0</v>
      </c>
    </row>
    <row r="226" spans="1:22" ht="12.75">
      <c r="A226" s="60"/>
      <c r="B226" s="43"/>
      <c r="C226" s="16"/>
      <c r="D226" s="16"/>
      <c r="E226" s="16"/>
      <c r="F226" s="16"/>
      <c r="G226" s="10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00"/>
      <c r="V226" s="15">
        <f>SUM(I226:T226)</f>
        <v>0</v>
      </c>
    </row>
    <row r="227" spans="1:22" ht="76.5">
      <c r="A227" s="62" t="s">
        <v>87</v>
      </c>
      <c r="B227" s="90" t="s">
        <v>129</v>
      </c>
      <c r="C227" s="37" t="s">
        <v>23</v>
      </c>
      <c r="D227" s="37">
        <v>6610000000</v>
      </c>
      <c r="E227" s="36"/>
      <c r="F227" s="36"/>
      <c r="G227" s="37"/>
      <c r="H227" s="13">
        <f>H228+H229+H230+H231+H232+H233+H234+H235+H236+H243+H247+H248+H249</f>
        <v>10175748</v>
      </c>
      <c r="I227" s="13">
        <f aca="true" t="shared" si="62" ref="I227:V227">I228+I229+I230+I231+I232+I233+I234+I235+I236+I243+I247+I248+I249</f>
        <v>500800</v>
      </c>
      <c r="J227" s="13">
        <f t="shared" si="62"/>
        <v>892100</v>
      </c>
      <c r="K227" s="13">
        <f t="shared" si="62"/>
        <v>883400</v>
      </c>
      <c r="L227" s="13">
        <f t="shared" si="62"/>
        <v>849322</v>
      </c>
      <c r="M227" s="13">
        <f t="shared" si="62"/>
        <v>821601.7</v>
      </c>
      <c r="N227" s="13">
        <f t="shared" si="62"/>
        <v>860800</v>
      </c>
      <c r="O227" s="13">
        <f t="shared" si="62"/>
        <v>859400</v>
      </c>
      <c r="P227" s="13">
        <f t="shared" si="62"/>
        <v>902174.96</v>
      </c>
      <c r="Q227" s="13">
        <f t="shared" si="62"/>
        <v>784000</v>
      </c>
      <c r="R227" s="13">
        <f t="shared" si="62"/>
        <v>881400</v>
      </c>
      <c r="S227" s="13">
        <f t="shared" si="62"/>
        <v>1008500</v>
      </c>
      <c r="T227" s="13">
        <f t="shared" si="62"/>
        <v>932249.3400000001</v>
      </c>
      <c r="U227" s="34"/>
      <c r="V227" s="13">
        <f t="shared" si="62"/>
        <v>10175748</v>
      </c>
    </row>
    <row r="228" spans="1:22" ht="96" customHeight="1">
      <c r="A228" s="56" t="s">
        <v>87</v>
      </c>
      <c r="B228" s="109" t="s">
        <v>178</v>
      </c>
      <c r="C228" s="10" t="s">
        <v>23</v>
      </c>
      <c r="D228" s="10">
        <v>6610100590</v>
      </c>
      <c r="E228" s="10">
        <v>611</v>
      </c>
      <c r="F228" s="10">
        <v>211</v>
      </c>
      <c r="G228" s="63" t="s">
        <v>227</v>
      </c>
      <c r="H228" s="14">
        <v>6248200</v>
      </c>
      <c r="I228" s="14">
        <f>198800-40901.7</f>
        <v>157898.3</v>
      </c>
      <c r="J228" s="14">
        <f>496900+25900</f>
        <v>522800</v>
      </c>
      <c r="K228" s="14">
        <f>496900+25900</f>
        <v>522800</v>
      </c>
      <c r="L228" s="14">
        <f>496900+25900</f>
        <v>522800</v>
      </c>
      <c r="M228" s="14">
        <f>496900+40901.7+25900</f>
        <v>563701.7</v>
      </c>
      <c r="N228" s="14">
        <f>496900+97900+25900</f>
        <v>620700</v>
      </c>
      <c r="O228" s="14">
        <f>496900+50000+25900</f>
        <v>572800</v>
      </c>
      <c r="P228" s="14">
        <f>496900+50000+25900</f>
        <v>572800</v>
      </c>
      <c r="Q228" s="14">
        <f>496900+25900</f>
        <v>522800</v>
      </c>
      <c r="R228" s="14">
        <f>496900+25900</f>
        <v>522800</v>
      </c>
      <c r="S228" s="14">
        <f>596900+25900</f>
        <v>622800</v>
      </c>
      <c r="T228" s="14">
        <f>496900+25900+700</f>
        <v>523500</v>
      </c>
      <c r="U228" s="100"/>
      <c r="V228" s="15">
        <f aca="true" t="shared" si="63" ref="V228:V272">SUM(I228:T228)</f>
        <v>6248200</v>
      </c>
    </row>
    <row r="229" spans="1:22" ht="101.25" customHeight="1">
      <c r="A229" s="56" t="s">
        <v>87</v>
      </c>
      <c r="B229" s="109" t="s">
        <v>179</v>
      </c>
      <c r="C229" s="10" t="s">
        <v>23</v>
      </c>
      <c r="D229" s="10">
        <v>6610100590</v>
      </c>
      <c r="E229" s="10">
        <v>611</v>
      </c>
      <c r="F229" s="10">
        <v>213</v>
      </c>
      <c r="G229" s="63" t="s">
        <v>228</v>
      </c>
      <c r="H229" s="14">
        <v>1886948</v>
      </c>
      <c r="I229" s="14">
        <v>0</v>
      </c>
      <c r="J229" s="14">
        <f>150100+13200</f>
        <v>163300</v>
      </c>
      <c r="K229" s="14">
        <f>150100+13200</f>
        <v>163300</v>
      </c>
      <c r="L229" s="14">
        <f>150100+13200</f>
        <v>163300</v>
      </c>
      <c r="M229" s="14">
        <f>150100+13200</f>
        <v>163300</v>
      </c>
      <c r="N229" s="14">
        <v>186600</v>
      </c>
      <c r="O229" s="14">
        <v>186600</v>
      </c>
      <c r="P229" s="14">
        <v>186600</v>
      </c>
      <c r="Q229" s="14">
        <v>163300</v>
      </c>
      <c r="R229" s="14">
        <v>163300</v>
      </c>
      <c r="S229" s="14">
        <v>183000</v>
      </c>
      <c r="T229" s="14">
        <v>164348</v>
      </c>
      <c r="U229" s="100"/>
      <c r="V229" s="15">
        <f t="shared" si="63"/>
        <v>1886948</v>
      </c>
    </row>
    <row r="230" spans="1:22" ht="124.5" customHeight="1">
      <c r="A230" s="56" t="s">
        <v>87</v>
      </c>
      <c r="B230" s="48" t="s">
        <v>194</v>
      </c>
      <c r="C230" s="10" t="s">
        <v>23</v>
      </c>
      <c r="D230" s="10">
        <v>6610100590</v>
      </c>
      <c r="E230" s="38">
        <v>611</v>
      </c>
      <c r="F230" s="38">
        <v>221</v>
      </c>
      <c r="G230" s="38" t="s">
        <v>212</v>
      </c>
      <c r="H230" s="29">
        <v>100800</v>
      </c>
      <c r="I230" s="14">
        <f>8400-7398.67</f>
        <v>1001.3299999999999</v>
      </c>
      <c r="J230" s="14">
        <v>8400</v>
      </c>
      <c r="K230" s="14">
        <v>8400</v>
      </c>
      <c r="L230" s="14">
        <v>8400</v>
      </c>
      <c r="M230" s="14">
        <v>8400</v>
      </c>
      <c r="N230" s="14">
        <v>8400</v>
      </c>
      <c r="O230" s="14">
        <v>8400</v>
      </c>
      <c r="P230" s="14">
        <v>8400</v>
      </c>
      <c r="Q230" s="14">
        <v>8400</v>
      </c>
      <c r="R230" s="14">
        <v>8400</v>
      </c>
      <c r="S230" s="14">
        <v>8400</v>
      </c>
      <c r="T230" s="14">
        <f>8400+7398.67</f>
        <v>15798.67</v>
      </c>
      <c r="U230" s="100"/>
      <c r="V230" s="15">
        <f t="shared" si="63"/>
        <v>100800</v>
      </c>
    </row>
    <row r="231" spans="1:22" ht="53.25" customHeight="1">
      <c r="A231" s="56" t="s">
        <v>87</v>
      </c>
      <c r="B231" s="48" t="s">
        <v>169</v>
      </c>
      <c r="C231" s="10" t="s">
        <v>23</v>
      </c>
      <c r="D231" s="10">
        <v>6610100590</v>
      </c>
      <c r="E231" s="38">
        <v>611</v>
      </c>
      <c r="F231" s="38">
        <v>221</v>
      </c>
      <c r="G231" s="38" t="s">
        <v>211</v>
      </c>
      <c r="H231" s="29">
        <v>37200</v>
      </c>
      <c r="I231" s="14">
        <v>0</v>
      </c>
      <c r="J231" s="14">
        <v>3100</v>
      </c>
      <c r="K231" s="14">
        <v>6200</v>
      </c>
      <c r="L231" s="14">
        <v>3100</v>
      </c>
      <c r="M231" s="14">
        <v>3100</v>
      </c>
      <c r="N231" s="14">
        <v>3100</v>
      </c>
      <c r="O231" s="14">
        <v>3100</v>
      </c>
      <c r="P231" s="14">
        <v>3100</v>
      </c>
      <c r="Q231" s="14">
        <v>3100</v>
      </c>
      <c r="R231" s="14">
        <v>3100</v>
      </c>
      <c r="S231" s="14">
        <v>3100</v>
      </c>
      <c r="T231" s="14">
        <v>3100</v>
      </c>
      <c r="U231" s="100"/>
      <c r="V231" s="15">
        <f t="shared" si="63"/>
        <v>37200</v>
      </c>
    </row>
    <row r="232" spans="1:22" ht="79.5" customHeight="1">
      <c r="A232" s="56" t="s">
        <v>87</v>
      </c>
      <c r="B232" s="110" t="s">
        <v>180</v>
      </c>
      <c r="C232" s="10" t="s">
        <v>23</v>
      </c>
      <c r="D232" s="10">
        <v>6610100590</v>
      </c>
      <c r="E232" s="38">
        <v>611</v>
      </c>
      <c r="F232" s="38">
        <v>223</v>
      </c>
      <c r="G232" s="70" t="s">
        <v>210</v>
      </c>
      <c r="H232" s="29">
        <v>233700</v>
      </c>
      <c r="I232" s="14">
        <f>19200-12774.96</f>
        <v>6425.040000000001</v>
      </c>
      <c r="J232" s="14">
        <f>19500+9500</f>
        <v>29000</v>
      </c>
      <c r="K232" s="14">
        <v>19500</v>
      </c>
      <c r="L232" s="14">
        <v>19500</v>
      </c>
      <c r="M232" s="14">
        <v>10000</v>
      </c>
      <c r="N232" s="14">
        <v>10000</v>
      </c>
      <c r="O232" s="14">
        <v>10000</v>
      </c>
      <c r="P232" s="14">
        <f>10000+12774.96</f>
        <v>22774.96</v>
      </c>
      <c r="Q232" s="14">
        <v>19500</v>
      </c>
      <c r="R232" s="14">
        <f>19500+9500</f>
        <v>29000</v>
      </c>
      <c r="S232" s="14">
        <f>19500+9500</f>
        <v>29000</v>
      </c>
      <c r="T232" s="14">
        <f>19500+9500</f>
        <v>29000</v>
      </c>
      <c r="U232" s="100"/>
      <c r="V232" s="15">
        <f t="shared" si="63"/>
        <v>233700</v>
      </c>
    </row>
    <row r="233" spans="1:22" ht="110.25" customHeight="1">
      <c r="A233" s="56" t="s">
        <v>87</v>
      </c>
      <c r="B233" s="48" t="s">
        <v>185</v>
      </c>
      <c r="C233" s="10" t="s">
        <v>23</v>
      </c>
      <c r="D233" s="10">
        <v>6610100590</v>
      </c>
      <c r="E233" s="38">
        <v>611</v>
      </c>
      <c r="F233" s="38">
        <v>223</v>
      </c>
      <c r="G233" s="70" t="s">
        <v>213</v>
      </c>
      <c r="H233" s="29">
        <v>25900</v>
      </c>
      <c r="I233" s="14">
        <v>0</v>
      </c>
      <c r="J233" s="14">
        <f>1500+1300</f>
        <v>2800</v>
      </c>
      <c r="K233" s="14">
        <v>2100</v>
      </c>
      <c r="L233" s="14">
        <v>2100</v>
      </c>
      <c r="M233" s="14">
        <v>2100</v>
      </c>
      <c r="N233" s="14">
        <v>3000</v>
      </c>
      <c r="O233" s="14">
        <v>3000</v>
      </c>
      <c r="P233" s="14">
        <v>3000</v>
      </c>
      <c r="Q233" s="14">
        <v>2100</v>
      </c>
      <c r="R233" s="14">
        <v>2100</v>
      </c>
      <c r="S233" s="14">
        <v>2100</v>
      </c>
      <c r="T233" s="14">
        <v>1500</v>
      </c>
      <c r="U233" s="100"/>
      <c r="V233" s="15">
        <f t="shared" si="63"/>
        <v>25900</v>
      </c>
    </row>
    <row r="234" spans="1:22" ht="100.5" customHeight="1">
      <c r="A234" s="56" t="s">
        <v>87</v>
      </c>
      <c r="B234" s="110" t="s">
        <v>180</v>
      </c>
      <c r="C234" s="10" t="s">
        <v>23</v>
      </c>
      <c r="D234" s="10">
        <v>6610100590</v>
      </c>
      <c r="E234" s="38">
        <v>611</v>
      </c>
      <c r="F234" s="38">
        <v>223</v>
      </c>
      <c r="G234" s="70" t="s">
        <v>65</v>
      </c>
      <c r="H234" s="29">
        <v>604000</v>
      </c>
      <c r="I234" s="14">
        <v>95097.33</v>
      </c>
      <c r="J234" s="14">
        <v>91900</v>
      </c>
      <c r="K234" s="14">
        <v>90000</v>
      </c>
      <c r="L234" s="14">
        <v>60000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67000</v>
      </c>
      <c r="S234" s="14">
        <v>100000</v>
      </c>
      <c r="T234" s="14">
        <v>100002.67</v>
      </c>
      <c r="U234" s="100"/>
      <c r="V234" s="15">
        <f t="shared" si="63"/>
        <v>604000</v>
      </c>
    </row>
    <row r="235" spans="1:22" ht="100.5" customHeight="1">
      <c r="A235" s="56" t="s">
        <v>87</v>
      </c>
      <c r="B235" s="110" t="s">
        <v>180</v>
      </c>
      <c r="C235" s="10" t="s">
        <v>23</v>
      </c>
      <c r="D235" s="10">
        <v>6610100590</v>
      </c>
      <c r="E235" s="38">
        <v>611</v>
      </c>
      <c r="F235" s="38">
        <v>223</v>
      </c>
      <c r="G235" s="70" t="s">
        <v>214</v>
      </c>
      <c r="H235" s="29">
        <v>91600</v>
      </c>
      <c r="I235" s="14">
        <v>20000</v>
      </c>
      <c r="J235" s="14">
        <v>18300</v>
      </c>
      <c r="K235" s="14">
        <v>10000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8400</v>
      </c>
      <c r="S235" s="14">
        <f>18300-1700</f>
        <v>16600</v>
      </c>
      <c r="T235" s="14">
        <v>18300</v>
      </c>
      <c r="U235" s="100"/>
      <c r="V235" s="15">
        <f t="shared" si="63"/>
        <v>91600</v>
      </c>
    </row>
    <row r="236" spans="1:22" ht="114" customHeight="1">
      <c r="A236" s="56" t="s">
        <v>87</v>
      </c>
      <c r="B236" s="48" t="s">
        <v>184</v>
      </c>
      <c r="C236" s="10" t="s">
        <v>23</v>
      </c>
      <c r="D236" s="10">
        <v>6610100590</v>
      </c>
      <c r="E236" s="38">
        <v>611</v>
      </c>
      <c r="F236" s="38">
        <v>225</v>
      </c>
      <c r="G236" s="70">
        <v>225</v>
      </c>
      <c r="H236" s="29">
        <f>48100+59500</f>
        <v>107600</v>
      </c>
      <c r="I236" s="14">
        <v>10600</v>
      </c>
      <c r="J236" s="14">
        <v>10000</v>
      </c>
      <c r="K236" s="14">
        <v>10000</v>
      </c>
      <c r="L236" s="14">
        <v>6000</v>
      </c>
      <c r="M236" s="14">
        <v>16000</v>
      </c>
      <c r="N236" s="14">
        <v>14000</v>
      </c>
      <c r="O236" s="14">
        <v>10500</v>
      </c>
      <c r="P236" s="14">
        <v>10500</v>
      </c>
      <c r="Q236" s="14">
        <v>10000</v>
      </c>
      <c r="R236" s="14">
        <v>5000</v>
      </c>
      <c r="S236" s="14">
        <v>5000</v>
      </c>
      <c r="T236" s="14">
        <v>0</v>
      </c>
      <c r="U236" s="100"/>
      <c r="V236" s="15">
        <f t="shared" si="63"/>
        <v>107600</v>
      </c>
    </row>
    <row r="237" spans="1:22" ht="12.75" hidden="1">
      <c r="A237" s="56" t="s">
        <v>87</v>
      </c>
      <c r="B237" s="23" t="s">
        <v>13</v>
      </c>
      <c r="C237" s="16" t="s">
        <v>23</v>
      </c>
      <c r="D237" s="10">
        <v>6610100590</v>
      </c>
      <c r="E237" s="51">
        <v>611</v>
      </c>
      <c r="F237" s="51">
        <v>226</v>
      </c>
      <c r="G237" s="70" t="s">
        <v>43</v>
      </c>
      <c r="H237" s="29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00"/>
      <c r="V237" s="15">
        <f t="shared" si="63"/>
        <v>0</v>
      </c>
    </row>
    <row r="238" spans="1:22" ht="12.75" hidden="1">
      <c r="A238" s="56" t="s">
        <v>87</v>
      </c>
      <c r="B238" s="23" t="s">
        <v>15</v>
      </c>
      <c r="C238" s="16" t="s">
        <v>23</v>
      </c>
      <c r="D238" s="10">
        <v>6610100590</v>
      </c>
      <c r="E238" s="51">
        <v>611</v>
      </c>
      <c r="F238" s="51">
        <v>340</v>
      </c>
      <c r="G238" s="70" t="s">
        <v>43</v>
      </c>
      <c r="H238" s="29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00"/>
      <c r="V238" s="15">
        <f t="shared" si="63"/>
        <v>0</v>
      </c>
    </row>
    <row r="239" spans="1:22" ht="12.75" hidden="1">
      <c r="A239" s="56" t="s">
        <v>87</v>
      </c>
      <c r="B239" s="23" t="s">
        <v>16</v>
      </c>
      <c r="C239" s="16" t="s">
        <v>23</v>
      </c>
      <c r="D239" s="10">
        <v>6610100590</v>
      </c>
      <c r="E239" s="51">
        <v>611</v>
      </c>
      <c r="F239" s="51">
        <v>310</v>
      </c>
      <c r="G239" s="70" t="s">
        <v>43</v>
      </c>
      <c r="H239" s="29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00"/>
      <c r="V239" s="15">
        <f t="shared" si="63"/>
        <v>0</v>
      </c>
    </row>
    <row r="240" spans="1:22" ht="12.75" hidden="1">
      <c r="A240" s="56" t="s">
        <v>87</v>
      </c>
      <c r="B240" s="23" t="s">
        <v>5</v>
      </c>
      <c r="C240" s="16" t="s">
        <v>23</v>
      </c>
      <c r="D240" s="10">
        <v>6610100590</v>
      </c>
      <c r="E240" s="51">
        <v>611</v>
      </c>
      <c r="F240" s="51">
        <v>211</v>
      </c>
      <c r="G240" s="38" t="s">
        <v>64</v>
      </c>
      <c r="H240" s="29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00"/>
      <c r="V240" s="15">
        <f t="shared" si="63"/>
        <v>0</v>
      </c>
    </row>
    <row r="241" spans="1:22" ht="12.75" hidden="1">
      <c r="A241" s="56" t="s">
        <v>87</v>
      </c>
      <c r="B241" s="23" t="s">
        <v>7</v>
      </c>
      <c r="C241" s="16" t="s">
        <v>23</v>
      </c>
      <c r="D241" s="10">
        <v>6610100590</v>
      </c>
      <c r="E241" s="51">
        <v>611</v>
      </c>
      <c r="F241" s="51">
        <v>213</v>
      </c>
      <c r="G241" s="38" t="s">
        <v>64</v>
      </c>
      <c r="H241" s="29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00"/>
      <c r="V241" s="15">
        <f t="shared" si="63"/>
        <v>0</v>
      </c>
    </row>
    <row r="242" spans="1:22" ht="25.5" hidden="1">
      <c r="A242" s="56" t="s">
        <v>87</v>
      </c>
      <c r="B242" s="63" t="s">
        <v>60</v>
      </c>
      <c r="C242" s="10" t="s">
        <v>23</v>
      </c>
      <c r="D242" s="10">
        <v>6610100590</v>
      </c>
      <c r="E242" s="38">
        <v>611</v>
      </c>
      <c r="F242" s="38">
        <v>225</v>
      </c>
      <c r="G242" s="38" t="s">
        <v>64</v>
      </c>
      <c r="H242" s="29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00"/>
      <c r="V242" s="15">
        <f t="shared" si="63"/>
        <v>0</v>
      </c>
    </row>
    <row r="243" spans="1:22" ht="108.75" customHeight="1">
      <c r="A243" s="56" t="s">
        <v>87</v>
      </c>
      <c r="B243" s="48" t="s">
        <v>184</v>
      </c>
      <c r="C243" s="10" t="s">
        <v>23</v>
      </c>
      <c r="D243" s="10">
        <v>6610100590</v>
      </c>
      <c r="E243" s="38">
        <v>611</v>
      </c>
      <c r="F243" s="38">
        <v>226</v>
      </c>
      <c r="G243" s="38">
        <v>226</v>
      </c>
      <c r="H243" s="29">
        <f>40000+83000+47000+60100+58000+10000+20000+57000+57000</f>
        <v>432100</v>
      </c>
      <c r="I243" s="14">
        <v>50000</v>
      </c>
      <c r="J243" s="14">
        <v>32500</v>
      </c>
      <c r="K243" s="14">
        <v>26100</v>
      </c>
      <c r="L243" s="14">
        <v>35000</v>
      </c>
      <c r="M243" s="14">
        <v>50000</v>
      </c>
      <c r="N243" s="14">
        <v>0</v>
      </c>
      <c r="O243" s="14">
        <v>50000</v>
      </c>
      <c r="P243" s="14">
        <v>50000</v>
      </c>
      <c r="Q243" s="14">
        <v>50000</v>
      </c>
      <c r="R243" s="14">
        <v>50000</v>
      </c>
      <c r="S243" s="14">
        <v>38500</v>
      </c>
      <c r="T243" s="14">
        <v>0</v>
      </c>
      <c r="U243" s="100"/>
      <c r="V243" s="15">
        <f t="shared" si="63"/>
        <v>432100</v>
      </c>
    </row>
    <row r="244" spans="1:22" ht="15.75" customHeight="1" hidden="1">
      <c r="A244" s="56" t="s">
        <v>37</v>
      </c>
      <c r="B244" s="23" t="s">
        <v>16</v>
      </c>
      <c r="C244" s="16" t="s">
        <v>23</v>
      </c>
      <c r="D244" s="51">
        <v>8220100270</v>
      </c>
      <c r="E244" s="51">
        <v>611</v>
      </c>
      <c r="F244" s="51">
        <v>310</v>
      </c>
      <c r="G244" s="38" t="s">
        <v>64</v>
      </c>
      <c r="H244" s="29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00"/>
      <c r="V244" s="15">
        <f t="shared" si="63"/>
        <v>0</v>
      </c>
    </row>
    <row r="245" spans="1:22" ht="12.75" hidden="1">
      <c r="A245" s="56" t="s">
        <v>37</v>
      </c>
      <c r="B245" s="23" t="s">
        <v>5</v>
      </c>
      <c r="C245" s="16" t="s">
        <v>23</v>
      </c>
      <c r="D245" s="51">
        <v>8220100270</v>
      </c>
      <c r="E245" s="51">
        <v>611</v>
      </c>
      <c r="F245" s="51">
        <v>211</v>
      </c>
      <c r="G245" s="38" t="s">
        <v>66</v>
      </c>
      <c r="H245" s="29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00"/>
      <c r="V245" s="15">
        <f t="shared" si="63"/>
        <v>0</v>
      </c>
    </row>
    <row r="246" spans="1:22" ht="12.75" hidden="1">
      <c r="A246" s="56" t="s">
        <v>37</v>
      </c>
      <c r="B246" s="23" t="s">
        <v>7</v>
      </c>
      <c r="C246" s="16" t="s">
        <v>23</v>
      </c>
      <c r="D246" s="51">
        <v>8220100270</v>
      </c>
      <c r="E246" s="51">
        <v>611</v>
      </c>
      <c r="F246" s="51">
        <v>213</v>
      </c>
      <c r="G246" s="38" t="s">
        <v>66</v>
      </c>
      <c r="H246" s="29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00"/>
      <c r="V246" s="15">
        <f t="shared" si="63"/>
        <v>0</v>
      </c>
    </row>
    <row r="247" spans="1:22" ht="102">
      <c r="A247" s="56" t="s">
        <v>87</v>
      </c>
      <c r="B247" s="48" t="s">
        <v>215</v>
      </c>
      <c r="C247" s="10" t="s">
        <v>23</v>
      </c>
      <c r="D247" s="10">
        <v>6610100590</v>
      </c>
      <c r="E247" s="38">
        <v>611</v>
      </c>
      <c r="F247" s="38">
        <v>340</v>
      </c>
      <c r="G247" s="38">
        <v>340</v>
      </c>
      <c r="H247" s="29">
        <f>10000+50000+20000+30000+30000-16100+97700</f>
        <v>221600</v>
      </c>
      <c r="I247" s="14">
        <f>11600-4800+21000</f>
        <v>27800</v>
      </c>
      <c r="J247" s="14">
        <v>10000</v>
      </c>
      <c r="K247" s="14">
        <v>25000</v>
      </c>
      <c r="L247" s="14">
        <v>5000</v>
      </c>
      <c r="M247" s="14">
        <v>5000</v>
      </c>
      <c r="N247" s="14">
        <v>15000</v>
      </c>
      <c r="O247" s="14">
        <v>15000</v>
      </c>
      <c r="P247" s="14">
        <v>15000</v>
      </c>
      <c r="Q247" s="14">
        <v>4800</v>
      </c>
      <c r="R247" s="14">
        <f>38400-16100</f>
        <v>22300</v>
      </c>
      <c r="S247" s="14">
        <v>0</v>
      </c>
      <c r="T247" s="14">
        <f>97700-21000</f>
        <v>76700</v>
      </c>
      <c r="U247" s="100"/>
      <c r="V247" s="15">
        <f t="shared" si="63"/>
        <v>221600</v>
      </c>
    </row>
    <row r="248" spans="1:22" ht="102">
      <c r="A248" s="56" t="s">
        <v>87</v>
      </c>
      <c r="B248" s="48" t="s">
        <v>216</v>
      </c>
      <c r="C248" s="10" t="s">
        <v>23</v>
      </c>
      <c r="D248" s="10">
        <v>6610100590</v>
      </c>
      <c r="E248" s="38">
        <v>611</v>
      </c>
      <c r="F248" s="38">
        <v>310</v>
      </c>
      <c r="G248" s="38">
        <v>310</v>
      </c>
      <c r="H248" s="29">
        <v>116100</v>
      </c>
      <c r="I248" s="14">
        <v>116100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00"/>
      <c r="V248" s="15">
        <f t="shared" si="63"/>
        <v>116100</v>
      </c>
    </row>
    <row r="249" spans="1:22" ht="114.75">
      <c r="A249" s="56" t="s">
        <v>87</v>
      </c>
      <c r="B249" s="48" t="s">
        <v>182</v>
      </c>
      <c r="C249" s="10" t="s">
        <v>23</v>
      </c>
      <c r="D249" s="10">
        <v>6610100590</v>
      </c>
      <c r="E249" s="38">
        <v>611</v>
      </c>
      <c r="F249" s="38">
        <v>290</v>
      </c>
      <c r="G249" s="29"/>
      <c r="H249" s="29">
        <v>70000</v>
      </c>
      <c r="I249" s="14">
        <f>40000-24122</f>
        <v>15878</v>
      </c>
      <c r="J249" s="14">
        <v>0</v>
      </c>
      <c r="K249" s="14">
        <v>0</v>
      </c>
      <c r="L249" s="14">
        <v>24122</v>
      </c>
      <c r="M249" s="14">
        <v>0</v>
      </c>
      <c r="N249" s="14">
        <v>0</v>
      </c>
      <c r="O249" s="14">
        <v>0</v>
      </c>
      <c r="P249" s="14">
        <v>30000</v>
      </c>
      <c r="Q249" s="14">
        <v>0</v>
      </c>
      <c r="R249" s="14">
        <v>0</v>
      </c>
      <c r="S249" s="14">
        <v>0</v>
      </c>
      <c r="T249" s="14">
        <v>0</v>
      </c>
      <c r="U249" s="100"/>
      <c r="V249" s="15">
        <f t="shared" si="63"/>
        <v>70000</v>
      </c>
    </row>
    <row r="250" spans="1:22" ht="63.75">
      <c r="A250" s="62" t="s">
        <v>87</v>
      </c>
      <c r="B250" s="90" t="s">
        <v>130</v>
      </c>
      <c r="C250" s="37" t="s">
        <v>23</v>
      </c>
      <c r="D250" s="37">
        <v>6620000000</v>
      </c>
      <c r="E250" s="37"/>
      <c r="F250" s="37"/>
      <c r="G250" s="37"/>
      <c r="H250" s="13">
        <f aca="true" t="shared" si="64" ref="H250:T250">H251+H252+H253+H254+H255+H256</f>
        <v>3423300</v>
      </c>
      <c r="I250" s="13">
        <f t="shared" si="64"/>
        <v>0</v>
      </c>
      <c r="J250" s="13">
        <f t="shared" si="64"/>
        <v>311000</v>
      </c>
      <c r="K250" s="13">
        <f t="shared" si="64"/>
        <v>311200</v>
      </c>
      <c r="L250" s="13">
        <f t="shared" si="64"/>
        <v>311200</v>
      </c>
      <c r="M250" s="13">
        <f t="shared" si="64"/>
        <v>311200</v>
      </c>
      <c r="N250" s="13">
        <f t="shared" si="64"/>
        <v>311200</v>
      </c>
      <c r="O250" s="13">
        <f t="shared" si="64"/>
        <v>311200</v>
      </c>
      <c r="P250" s="13">
        <f t="shared" si="64"/>
        <v>311200</v>
      </c>
      <c r="Q250" s="13">
        <f t="shared" si="64"/>
        <v>311200</v>
      </c>
      <c r="R250" s="13">
        <f t="shared" si="64"/>
        <v>311200</v>
      </c>
      <c r="S250" s="13">
        <f t="shared" si="64"/>
        <v>311500</v>
      </c>
      <c r="T250" s="13">
        <f t="shared" si="64"/>
        <v>311200</v>
      </c>
      <c r="U250" s="101"/>
      <c r="V250" s="87">
        <f t="shared" si="63"/>
        <v>3423300</v>
      </c>
    </row>
    <row r="251" spans="1:22" ht="89.25" customHeight="1">
      <c r="A251" s="56" t="s">
        <v>87</v>
      </c>
      <c r="B251" s="109" t="s">
        <v>186</v>
      </c>
      <c r="C251" s="10" t="s">
        <v>23</v>
      </c>
      <c r="D251" s="10">
        <v>6620110410</v>
      </c>
      <c r="E251" s="10">
        <v>611</v>
      </c>
      <c r="F251" s="10">
        <v>211</v>
      </c>
      <c r="G251" s="132" t="s">
        <v>80</v>
      </c>
      <c r="H251" s="14">
        <v>2629300</v>
      </c>
      <c r="I251" s="14">
        <v>0</v>
      </c>
      <c r="J251" s="14">
        <v>239000</v>
      </c>
      <c r="K251" s="14">
        <v>239000</v>
      </c>
      <c r="L251" s="14">
        <v>239000</v>
      </c>
      <c r="M251" s="14">
        <v>239000</v>
      </c>
      <c r="N251" s="14">
        <v>239000</v>
      </c>
      <c r="O251" s="14">
        <v>239000</v>
      </c>
      <c r="P251" s="14">
        <v>239000</v>
      </c>
      <c r="Q251" s="14">
        <v>239000</v>
      </c>
      <c r="R251" s="14">
        <v>239000</v>
      </c>
      <c r="S251" s="14">
        <v>239300</v>
      </c>
      <c r="T251" s="14">
        <v>239000</v>
      </c>
      <c r="U251" s="100"/>
      <c r="V251" s="15">
        <f t="shared" si="63"/>
        <v>2629300</v>
      </c>
    </row>
    <row r="252" spans="1:22" ht="132" customHeight="1">
      <c r="A252" s="56" t="s">
        <v>87</v>
      </c>
      <c r="B252" s="109" t="s">
        <v>195</v>
      </c>
      <c r="C252" s="10" t="s">
        <v>23</v>
      </c>
      <c r="D252" s="10">
        <v>6620110410</v>
      </c>
      <c r="E252" s="10">
        <v>611</v>
      </c>
      <c r="F252" s="10">
        <v>213</v>
      </c>
      <c r="G252" s="132"/>
      <c r="H252" s="14">
        <v>794000</v>
      </c>
      <c r="I252" s="14">
        <v>0</v>
      </c>
      <c r="J252" s="14">
        <v>72000</v>
      </c>
      <c r="K252" s="14">
        <v>72200</v>
      </c>
      <c r="L252" s="14">
        <v>72200</v>
      </c>
      <c r="M252" s="14">
        <v>72200</v>
      </c>
      <c r="N252" s="14">
        <v>72200</v>
      </c>
      <c r="O252" s="14">
        <v>72200</v>
      </c>
      <c r="P252" s="14">
        <v>72200</v>
      </c>
      <c r="Q252" s="14">
        <v>72200</v>
      </c>
      <c r="R252" s="14">
        <v>72200</v>
      </c>
      <c r="S252" s="14">
        <v>72200</v>
      </c>
      <c r="T252" s="14">
        <v>72200</v>
      </c>
      <c r="U252" s="100"/>
      <c r="V252" s="15">
        <f t="shared" si="63"/>
        <v>794000</v>
      </c>
    </row>
    <row r="253" spans="1:22" ht="46.5" customHeight="1" hidden="1">
      <c r="A253" s="56" t="s">
        <v>37</v>
      </c>
      <c r="B253" s="23" t="s">
        <v>5</v>
      </c>
      <c r="C253" s="16" t="s">
        <v>23</v>
      </c>
      <c r="D253" s="16">
        <v>8230110410</v>
      </c>
      <c r="E253" s="16">
        <v>611</v>
      </c>
      <c r="F253" s="16">
        <v>211</v>
      </c>
      <c r="G253" s="132"/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00"/>
      <c r="V253" s="15">
        <f t="shared" si="63"/>
        <v>0</v>
      </c>
    </row>
    <row r="254" spans="1:22" ht="45.75" customHeight="1" hidden="1">
      <c r="A254" s="56" t="s">
        <v>37</v>
      </c>
      <c r="B254" s="23" t="s">
        <v>7</v>
      </c>
      <c r="C254" s="16" t="s">
        <v>23</v>
      </c>
      <c r="D254" s="16">
        <v>8230110410</v>
      </c>
      <c r="E254" s="16">
        <v>611</v>
      </c>
      <c r="F254" s="16">
        <v>213</v>
      </c>
      <c r="G254" s="132"/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00"/>
      <c r="V254" s="15">
        <f t="shared" si="63"/>
        <v>0</v>
      </c>
    </row>
    <row r="255" spans="1:22" ht="67.5" customHeight="1" hidden="1">
      <c r="A255" s="56" t="s">
        <v>37</v>
      </c>
      <c r="B255" s="23" t="s">
        <v>5</v>
      </c>
      <c r="C255" s="16" t="s">
        <v>23</v>
      </c>
      <c r="D255" s="16">
        <v>8230110410</v>
      </c>
      <c r="E255" s="16">
        <v>611</v>
      </c>
      <c r="F255" s="16">
        <v>211</v>
      </c>
      <c r="G255" s="132"/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00"/>
      <c r="V255" s="15">
        <f t="shared" si="63"/>
        <v>0</v>
      </c>
    </row>
    <row r="256" spans="1:22" ht="53.25" customHeight="1" hidden="1">
      <c r="A256" s="56" t="s">
        <v>37</v>
      </c>
      <c r="B256" s="23" t="s">
        <v>7</v>
      </c>
      <c r="C256" s="16" t="s">
        <v>23</v>
      </c>
      <c r="D256" s="16">
        <v>8230110410</v>
      </c>
      <c r="E256" s="16">
        <v>611</v>
      </c>
      <c r="F256" s="16">
        <v>213</v>
      </c>
      <c r="G256" s="132"/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00"/>
      <c r="V256" s="15">
        <f t="shared" si="63"/>
        <v>0</v>
      </c>
    </row>
    <row r="257" spans="1:22" ht="12.75" hidden="1">
      <c r="A257" s="56"/>
      <c r="B257" s="23"/>
      <c r="C257" s="16"/>
      <c r="D257" s="16"/>
      <c r="E257" s="16"/>
      <c r="F257" s="16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00"/>
      <c r="V257" s="15">
        <f t="shared" si="63"/>
        <v>0</v>
      </c>
    </row>
    <row r="258" spans="1:22" ht="12.75" hidden="1">
      <c r="A258" s="56"/>
      <c r="B258" s="23"/>
      <c r="C258" s="16"/>
      <c r="D258" s="16"/>
      <c r="E258" s="16"/>
      <c r="F258" s="16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00"/>
      <c r="V258" s="15">
        <f t="shared" si="63"/>
        <v>0</v>
      </c>
    </row>
    <row r="259" spans="1:22" ht="12.75" hidden="1">
      <c r="A259" s="56"/>
      <c r="B259" s="23"/>
      <c r="C259" s="16"/>
      <c r="D259" s="16"/>
      <c r="E259" s="16"/>
      <c r="F259" s="16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00"/>
      <c r="V259" s="15">
        <f t="shared" si="63"/>
        <v>0</v>
      </c>
    </row>
    <row r="260" spans="1:22" ht="12.75" hidden="1">
      <c r="A260" s="56"/>
      <c r="B260" s="23"/>
      <c r="C260" s="16"/>
      <c r="D260" s="16"/>
      <c r="E260" s="16"/>
      <c r="F260" s="16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00"/>
      <c r="V260" s="15">
        <f t="shared" si="63"/>
        <v>0</v>
      </c>
    </row>
    <row r="261" spans="1:22" ht="12.75" hidden="1">
      <c r="A261" s="56"/>
      <c r="B261" s="23"/>
      <c r="C261" s="16"/>
      <c r="D261" s="16"/>
      <c r="E261" s="16"/>
      <c r="F261" s="16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00"/>
      <c r="V261" s="15">
        <f t="shared" si="63"/>
        <v>0</v>
      </c>
    </row>
    <row r="262" spans="1:22" ht="12.75" hidden="1">
      <c r="A262" s="56"/>
      <c r="B262" s="23"/>
      <c r="C262" s="16"/>
      <c r="D262" s="16"/>
      <c r="E262" s="16"/>
      <c r="F262" s="16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00"/>
      <c r="V262" s="15">
        <f t="shared" si="63"/>
        <v>0</v>
      </c>
    </row>
    <row r="263" spans="1:22" ht="12.75" hidden="1">
      <c r="A263" s="56"/>
      <c r="B263" s="23"/>
      <c r="C263" s="16"/>
      <c r="D263" s="16"/>
      <c r="E263" s="16"/>
      <c r="F263" s="16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00"/>
      <c r="V263" s="15">
        <f t="shared" si="63"/>
        <v>0</v>
      </c>
    </row>
    <row r="264" spans="1:22" ht="12.75">
      <c r="A264" s="56"/>
      <c r="B264" s="23"/>
      <c r="C264" s="16"/>
      <c r="D264" s="16"/>
      <c r="E264" s="16"/>
      <c r="F264" s="16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00"/>
      <c r="V264" s="15">
        <f t="shared" si="63"/>
        <v>0</v>
      </c>
    </row>
    <row r="265" spans="1:22" ht="51">
      <c r="A265" s="62" t="s">
        <v>87</v>
      </c>
      <c r="B265" s="90" t="s">
        <v>131</v>
      </c>
      <c r="C265" s="37" t="s">
        <v>23</v>
      </c>
      <c r="D265" s="37">
        <v>6630000000</v>
      </c>
      <c r="E265" s="37"/>
      <c r="F265" s="37"/>
      <c r="G265" s="37"/>
      <c r="H265" s="13">
        <f aca="true" t="shared" si="65" ref="H265:T265">H266</f>
        <v>444200</v>
      </c>
      <c r="I265" s="13">
        <f t="shared" si="65"/>
        <v>0</v>
      </c>
      <c r="J265" s="13">
        <f t="shared" si="65"/>
        <v>21500</v>
      </c>
      <c r="K265" s="13">
        <f t="shared" si="65"/>
        <v>31500</v>
      </c>
      <c r="L265" s="13">
        <f t="shared" si="65"/>
        <v>31700</v>
      </c>
      <c r="M265" s="13">
        <f t="shared" si="65"/>
        <v>39200</v>
      </c>
      <c r="N265" s="13">
        <f t="shared" si="65"/>
        <v>5000</v>
      </c>
      <c r="O265" s="13">
        <f t="shared" si="65"/>
        <v>5000</v>
      </c>
      <c r="P265" s="13">
        <f t="shared" si="65"/>
        <v>5000</v>
      </c>
      <c r="Q265" s="13">
        <f t="shared" si="65"/>
        <v>6000</v>
      </c>
      <c r="R265" s="13">
        <f t="shared" si="65"/>
        <v>165000</v>
      </c>
      <c r="S265" s="13">
        <f t="shared" si="65"/>
        <v>100000</v>
      </c>
      <c r="T265" s="13">
        <f t="shared" si="65"/>
        <v>34300</v>
      </c>
      <c r="U265" s="101"/>
      <c r="V265" s="87">
        <f t="shared" si="63"/>
        <v>444200</v>
      </c>
    </row>
    <row r="266" spans="1:22" ht="114.75">
      <c r="A266" s="56" t="s">
        <v>87</v>
      </c>
      <c r="B266" s="48" t="s">
        <v>183</v>
      </c>
      <c r="C266" s="10" t="s">
        <v>23</v>
      </c>
      <c r="D266" s="10">
        <v>6630100320</v>
      </c>
      <c r="E266" s="10">
        <v>611</v>
      </c>
      <c r="F266" s="23">
        <v>290</v>
      </c>
      <c r="G266" s="14"/>
      <c r="H266" s="14">
        <v>444200</v>
      </c>
      <c r="I266" s="14">
        <v>0</v>
      </c>
      <c r="J266" s="14">
        <v>21500</v>
      </c>
      <c r="K266" s="14">
        <v>31500</v>
      </c>
      <c r="L266" s="14">
        <v>31700</v>
      </c>
      <c r="M266" s="14">
        <v>39200</v>
      </c>
      <c r="N266" s="14">
        <v>5000</v>
      </c>
      <c r="O266" s="14">
        <v>5000</v>
      </c>
      <c r="P266" s="14">
        <v>5000</v>
      </c>
      <c r="Q266" s="14">
        <f>20800+22800+19467.33-57067.33</f>
        <v>6000</v>
      </c>
      <c r="R266" s="14">
        <v>165000</v>
      </c>
      <c r="S266" s="14">
        <v>100000</v>
      </c>
      <c r="T266" s="14">
        <v>34300</v>
      </c>
      <c r="U266" s="100"/>
      <c r="V266" s="15">
        <f t="shared" si="63"/>
        <v>444200</v>
      </c>
    </row>
    <row r="267" spans="1:22" ht="12.75">
      <c r="A267" s="56"/>
      <c r="B267" s="23"/>
      <c r="C267" s="16"/>
      <c r="D267" s="16"/>
      <c r="E267" s="16"/>
      <c r="F267" s="28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00"/>
      <c r="V267" s="15">
        <f t="shared" si="63"/>
        <v>0</v>
      </c>
    </row>
    <row r="268" spans="1:22" ht="102">
      <c r="A268" s="62" t="s">
        <v>87</v>
      </c>
      <c r="B268" s="90" t="s">
        <v>132</v>
      </c>
      <c r="C268" s="37" t="s">
        <v>23</v>
      </c>
      <c r="D268" s="37">
        <v>6700000000</v>
      </c>
      <c r="E268" s="37"/>
      <c r="F268" s="37"/>
      <c r="G268" s="37"/>
      <c r="H268" s="13">
        <f aca="true" t="shared" si="66" ref="H268:T268">H269</f>
        <v>50000</v>
      </c>
      <c r="I268" s="13">
        <f t="shared" si="66"/>
        <v>0</v>
      </c>
      <c r="J268" s="13">
        <f t="shared" si="66"/>
        <v>0</v>
      </c>
      <c r="K268" s="13">
        <f t="shared" si="66"/>
        <v>0</v>
      </c>
      <c r="L268" s="13">
        <f t="shared" si="66"/>
        <v>50000</v>
      </c>
      <c r="M268" s="13">
        <f t="shared" si="66"/>
        <v>0</v>
      </c>
      <c r="N268" s="13">
        <f t="shared" si="66"/>
        <v>0</v>
      </c>
      <c r="O268" s="13">
        <f t="shared" si="66"/>
        <v>0</v>
      </c>
      <c r="P268" s="13">
        <f t="shared" si="66"/>
        <v>0</v>
      </c>
      <c r="Q268" s="13">
        <f t="shared" si="66"/>
        <v>0</v>
      </c>
      <c r="R268" s="13">
        <f t="shared" si="66"/>
        <v>0</v>
      </c>
      <c r="S268" s="13">
        <f t="shared" si="66"/>
        <v>0</v>
      </c>
      <c r="T268" s="13">
        <f t="shared" si="66"/>
        <v>0</v>
      </c>
      <c r="U268" s="101"/>
      <c r="V268" s="87">
        <f t="shared" si="63"/>
        <v>50000</v>
      </c>
    </row>
    <row r="269" spans="1:22" ht="33" customHeight="1">
      <c r="A269" s="56" t="s">
        <v>87</v>
      </c>
      <c r="B269" s="63" t="s">
        <v>157</v>
      </c>
      <c r="C269" s="10" t="s">
        <v>23</v>
      </c>
      <c r="D269" s="10">
        <v>6710110310</v>
      </c>
      <c r="E269" s="10">
        <v>244</v>
      </c>
      <c r="F269" s="10">
        <v>225</v>
      </c>
      <c r="G269" s="14"/>
      <c r="H269" s="14">
        <v>50000</v>
      </c>
      <c r="I269" s="14">
        <v>0</v>
      </c>
      <c r="J269" s="14">
        <v>0</v>
      </c>
      <c r="K269" s="14">
        <v>0</v>
      </c>
      <c r="L269" s="14">
        <v>50000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00"/>
      <c r="V269" s="15">
        <f t="shared" si="63"/>
        <v>50000</v>
      </c>
    </row>
    <row r="270" spans="1:22" s="3" customFormat="1" ht="38.25">
      <c r="A270" s="62" t="s">
        <v>87</v>
      </c>
      <c r="B270" s="90" t="s">
        <v>67</v>
      </c>
      <c r="C270" s="37" t="s">
        <v>23</v>
      </c>
      <c r="D270" s="37">
        <v>8800000000</v>
      </c>
      <c r="E270" s="41"/>
      <c r="F270" s="41"/>
      <c r="G270" s="24"/>
      <c r="H270" s="13">
        <f aca="true" t="shared" si="67" ref="H270:M270">H271</f>
        <v>130000</v>
      </c>
      <c r="I270" s="13">
        <f t="shared" si="67"/>
        <v>0</v>
      </c>
      <c r="J270" s="13">
        <f t="shared" si="67"/>
        <v>130000</v>
      </c>
      <c r="K270" s="13">
        <f t="shared" si="67"/>
        <v>0</v>
      </c>
      <c r="L270" s="13">
        <f t="shared" si="67"/>
        <v>0</v>
      </c>
      <c r="M270" s="13">
        <f t="shared" si="67"/>
        <v>0</v>
      </c>
      <c r="N270" s="13">
        <v>0</v>
      </c>
      <c r="O270" s="13">
        <f aca="true" t="shared" si="68" ref="O270:T270">O271</f>
        <v>0</v>
      </c>
      <c r="P270" s="13">
        <f t="shared" si="68"/>
        <v>0</v>
      </c>
      <c r="Q270" s="13">
        <f t="shared" si="68"/>
        <v>0</v>
      </c>
      <c r="R270" s="13">
        <f t="shared" si="68"/>
        <v>0</v>
      </c>
      <c r="S270" s="13">
        <f t="shared" si="68"/>
        <v>0</v>
      </c>
      <c r="T270" s="13">
        <f t="shared" si="68"/>
        <v>0</v>
      </c>
      <c r="U270" s="101"/>
      <c r="V270" s="87">
        <f t="shared" si="63"/>
        <v>130000</v>
      </c>
    </row>
    <row r="271" spans="1:22" ht="25.5">
      <c r="A271" s="56" t="s">
        <v>87</v>
      </c>
      <c r="B271" s="48" t="s">
        <v>173</v>
      </c>
      <c r="C271" s="10" t="s">
        <v>23</v>
      </c>
      <c r="D271" s="10">
        <v>8810011440</v>
      </c>
      <c r="E271" s="10">
        <v>540</v>
      </c>
      <c r="F271" s="10">
        <v>310</v>
      </c>
      <c r="G271" s="14"/>
      <c r="H271" s="14">
        <v>130000</v>
      </c>
      <c r="I271" s="14">
        <v>0</v>
      </c>
      <c r="J271" s="14">
        <v>130000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00"/>
      <c r="V271" s="15">
        <f t="shared" si="63"/>
        <v>130000</v>
      </c>
    </row>
    <row r="272" spans="1:22" ht="12.75">
      <c r="A272" s="56"/>
      <c r="B272" s="23"/>
      <c r="C272" s="16"/>
      <c r="D272" s="16"/>
      <c r="E272" s="16"/>
      <c r="F272" s="16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00"/>
      <c r="V272" s="15">
        <f t="shared" si="63"/>
        <v>0</v>
      </c>
    </row>
    <row r="273" spans="1:22" ht="12.75">
      <c r="A273" s="56"/>
      <c r="B273" s="25" t="s">
        <v>45</v>
      </c>
      <c r="C273" s="25" t="s">
        <v>23</v>
      </c>
      <c r="D273" s="16"/>
      <c r="E273" s="16"/>
      <c r="F273" s="16"/>
      <c r="G273" s="14"/>
      <c r="H273" s="30">
        <f aca="true" t="shared" si="69" ref="H273:T273">H269+H270+H265+H250+H227</f>
        <v>14223248</v>
      </c>
      <c r="I273" s="30">
        <f t="shared" si="69"/>
        <v>500800</v>
      </c>
      <c r="J273" s="30">
        <f t="shared" si="69"/>
        <v>1354600</v>
      </c>
      <c r="K273" s="30">
        <f t="shared" si="69"/>
        <v>1226100</v>
      </c>
      <c r="L273" s="30">
        <f t="shared" si="69"/>
        <v>1242222</v>
      </c>
      <c r="M273" s="30">
        <f t="shared" si="69"/>
        <v>1172001.7</v>
      </c>
      <c r="N273" s="30">
        <f t="shared" si="69"/>
        <v>1177000</v>
      </c>
      <c r="O273" s="30">
        <f t="shared" si="69"/>
        <v>1175600</v>
      </c>
      <c r="P273" s="30">
        <f t="shared" si="69"/>
        <v>1218374.96</v>
      </c>
      <c r="Q273" s="30">
        <f t="shared" si="69"/>
        <v>1101200</v>
      </c>
      <c r="R273" s="30">
        <f t="shared" si="69"/>
        <v>1357600</v>
      </c>
      <c r="S273" s="30">
        <f t="shared" si="69"/>
        <v>1420000</v>
      </c>
      <c r="T273" s="30">
        <f t="shared" si="69"/>
        <v>1277749.34</v>
      </c>
      <c r="U273" s="97"/>
      <c r="V273" s="97">
        <f>V269+V270+V265+V250+V227</f>
        <v>14223248</v>
      </c>
    </row>
    <row r="274" spans="1:22" ht="12.75">
      <c r="A274" s="56"/>
      <c r="B274" s="23"/>
      <c r="C274" s="16"/>
      <c r="D274" s="16"/>
      <c r="E274" s="16"/>
      <c r="F274" s="16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00"/>
      <c r="V274" s="15">
        <f aca="true" t="shared" si="70" ref="V274:V288">SUM(I274:T274)</f>
        <v>0</v>
      </c>
    </row>
    <row r="275" spans="1:22" ht="12.75">
      <c r="A275" s="66"/>
      <c r="B275" s="92" t="s">
        <v>68</v>
      </c>
      <c r="C275" s="44"/>
      <c r="D275" s="44"/>
      <c r="E275" s="44"/>
      <c r="F275" s="44"/>
      <c r="G275" s="49"/>
      <c r="H275" s="42">
        <f aca="true" t="shared" si="71" ref="H275:T275">H273</f>
        <v>14223248</v>
      </c>
      <c r="I275" s="42">
        <f t="shared" si="71"/>
        <v>500800</v>
      </c>
      <c r="J275" s="42">
        <f t="shared" si="71"/>
        <v>1354600</v>
      </c>
      <c r="K275" s="42">
        <f t="shared" si="71"/>
        <v>1226100</v>
      </c>
      <c r="L275" s="42">
        <f t="shared" si="71"/>
        <v>1242222</v>
      </c>
      <c r="M275" s="42">
        <f t="shared" si="71"/>
        <v>1172001.7</v>
      </c>
      <c r="N275" s="42">
        <f t="shared" si="71"/>
        <v>1177000</v>
      </c>
      <c r="O275" s="42">
        <f t="shared" si="71"/>
        <v>1175600</v>
      </c>
      <c r="P275" s="42">
        <f t="shared" si="71"/>
        <v>1218374.96</v>
      </c>
      <c r="Q275" s="42">
        <f t="shared" si="71"/>
        <v>1101200</v>
      </c>
      <c r="R275" s="42">
        <f t="shared" si="71"/>
        <v>1357600</v>
      </c>
      <c r="S275" s="42">
        <f t="shared" si="71"/>
        <v>1420000</v>
      </c>
      <c r="T275" s="42">
        <f t="shared" si="71"/>
        <v>1277749.34</v>
      </c>
      <c r="U275" s="104"/>
      <c r="V275" s="50">
        <f t="shared" si="70"/>
        <v>14223248</v>
      </c>
    </row>
    <row r="276" spans="1:22" ht="12.75">
      <c r="A276" s="56"/>
      <c r="B276" s="23"/>
      <c r="C276" s="16"/>
      <c r="D276" s="16"/>
      <c r="E276" s="16"/>
      <c r="F276" s="16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00"/>
      <c r="V276" s="15">
        <f t="shared" si="70"/>
        <v>0</v>
      </c>
    </row>
    <row r="277" spans="1:22" ht="102">
      <c r="A277" s="62" t="s">
        <v>87</v>
      </c>
      <c r="B277" s="90" t="s">
        <v>133</v>
      </c>
      <c r="C277" s="37" t="s">
        <v>44</v>
      </c>
      <c r="D277" s="37">
        <v>6900000000</v>
      </c>
      <c r="E277" s="37"/>
      <c r="F277" s="37"/>
      <c r="G277" s="37"/>
      <c r="H277" s="13">
        <f aca="true" t="shared" si="72" ref="H277:T277">H278</f>
        <v>388200</v>
      </c>
      <c r="I277" s="13">
        <f t="shared" si="72"/>
        <v>0</v>
      </c>
      <c r="J277" s="13">
        <f t="shared" si="72"/>
        <v>32300</v>
      </c>
      <c r="K277" s="13">
        <f t="shared" si="72"/>
        <v>32400</v>
      </c>
      <c r="L277" s="13">
        <f t="shared" si="72"/>
        <v>32300</v>
      </c>
      <c r="M277" s="13">
        <f t="shared" si="72"/>
        <v>32300</v>
      </c>
      <c r="N277" s="13">
        <f t="shared" si="72"/>
        <v>32400</v>
      </c>
      <c r="O277" s="13">
        <f t="shared" si="72"/>
        <v>32300</v>
      </c>
      <c r="P277" s="13">
        <f t="shared" si="72"/>
        <v>32400</v>
      </c>
      <c r="Q277" s="13">
        <f t="shared" si="72"/>
        <v>32400</v>
      </c>
      <c r="R277" s="13">
        <f t="shared" si="72"/>
        <v>32300</v>
      </c>
      <c r="S277" s="13">
        <f t="shared" si="72"/>
        <v>32400</v>
      </c>
      <c r="T277" s="13">
        <f t="shared" si="72"/>
        <v>64700</v>
      </c>
      <c r="U277" s="101"/>
      <c r="V277" s="87">
        <f t="shared" si="70"/>
        <v>388200</v>
      </c>
    </row>
    <row r="278" spans="1:22" ht="25.5">
      <c r="A278" s="56" t="s">
        <v>87</v>
      </c>
      <c r="B278" s="48" t="s">
        <v>176</v>
      </c>
      <c r="C278" s="10" t="s">
        <v>44</v>
      </c>
      <c r="D278" s="10">
        <v>6910141210</v>
      </c>
      <c r="E278" s="10">
        <v>312</v>
      </c>
      <c r="F278" s="10">
        <v>263</v>
      </c>
      <c r="G278" s="14"/>
      <c r="H278" s="14">
        <v>388200</v>
      </c>
      <c r="I278" s="14">
        <v>0</v>
      </c>
      <c r="J278" s="14">
        <v>32300</v>
      </c>
      <c r="K278" s="14">
        <v>32400</v>
      </c>
      <c r="L278" s="14">
        <v>32300</v>
      </c>
      <c r="M278" s="14">
        <v>32300</v>
      </c>
      <c r="N278" s="14">
        <v>32400</v>
      </c>
      <c r="O278" s="14">
        <v>32300</v>
      </c>
      <c r="P278" s="14">
        <v>32400</v>
      </c>
      <c r="Q278" s="14">
        <v>32400</v>
      </c>
      <c r="R278" s="14">
        <v>32300</v>
      </c>
      <c r="S278" s="14">
        <v>32400</v>
      </c>
      <c r="T278" s="14">
        <f>32400+32300</f>
        <v>64700</v>
      </c>
      <c r="U278" s="100"/>
      <c r="V278" s="15">
        <f t="shared" si="70"/>
        <v>388200</v>
      </c>
    </row>
    <row r="279" spans="1:22" ht="12.75">
      <c r="A279" s="56"/>
      <c r="B279" s="23"/>
      <c r="C279" s="16"/>
      <c r="D279" s="16"/>
      <c r="E279" s="16"/>
      <c r="F279" s="16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00"/>
      <c r="V279" s="15">
        <f t="shared" si="70"/>
        <v>0</v>
      </c>
    </row>
    <row r="280" spans="1:22" ht="12.75">
      <c r="A280" s="56"/>
      <c r="B280" s="25" t="s">
        <v>45</v>
      </c>
      <c r="C280" s="25" t="s">
        <v>44</v>
      </c>
      <c r="D280" s="16"/>
      <c r="E280" s="16"/>
      <c r="F280" s="16"/>
      <c r="G280" s="14"/>
      <c r="H280" s="30">
        <f aca="true" t="shared" si="73" ref="H280:T280">H277</f>
        <v>388200</v>
      </c>
      <c r="I280" s="30">
        <f t="shared" si="73"/>
        <v>0</v>
      </c>
      <c r="J280" s="30">
        <f t="shared" si="73"/>
        <v>32300</v>
      </c>
      <c r="K280" s="30">
        <f t="shared" si="73"/>
        <v>32400</v>
      </c>
      <c r="L280" s="30">
        <f t="shared" si="73"/>
        <v>32300</v>
      </c>
      <c r="M280" s="30">
        <f t="shared" si="73"/>
        <v>32300</v>
      </c>
      <c r="N280" s="30">
        <f t="shared" si="73"/>
        <v>32400</v>
      </c>
      <c r="O280" s="30">
        <f t="shared" si="73"/>
        <v>32300</v>
      </c>
      <c r="P280" s="30">
        <f t="shared" si="73"/>
        <v>32400</v>
      </c>
      <c r="Q280" s="30">
        <f t="shared" si="73"/>
        <v>32400</v>
      </c>
      <c r="R280" s="30">
        <f t="shared" si="73"/>
        <v>32300</v>
      </c>
      <c r="S280" s="30">
        <f t="shared" si="73"/>
        <v>32400</v>
      </c>
      <c r="T280" s="30">
        <f t="shared" si="73"/>
        <v>64700</v>
      </c>
      <c r="U280" s="102"/>
      <c r="V280" s="86">
        <f t="shared" si="70"/>
        <v>388200</v>
      </c>
    </row>
    <row r="281" spans="1:22" ht="12.75">
      <c r="A281" s="56"/>
      <c r="B281" s="25"/>
      <c r="C281" s="26"/>
      <c r="D281" s="16"/>
      <c r="E281" s="16"/>
      <c r="F281" s="16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00"/>
      <c r="V281" s="15">
        <f t="shared" si="70"/>
        <v>0</v>
      </c>
    </row>
    <row r="282" spans="1:22" ht="89.25">
      <c r="A282" s="62" t="s">
        <v>87</v>
      </c>
      <c r="B282" s="90" t="s">
        <v>134</v>
      </c>
      <c r="C282" s="37" t="s">
        <v>69</v>
      </c>
      <c r="D282" s="37">
        <v>7000000000</v>
      </c>
      <c r="E282" s="37"/>
      <c r="F282" s="37"/>
      <c r="G282" s="37"/>
      <c r="H282" s="13">
        <f aca="true" t="shared" si="74" ref="H282:T282">H283</f>
        <v>50000</v>
      </c>
      <c r="I282" s="13">
        <f t="shared" si="74"/>
        <v>0</v>
      </c>
      <c r="J282" s="13">
        <f t="shared" si="74"/>
        <v>0</v>
      </c>
      <c r="K282" s="13">
        <f t="shared" si="74"/>
        <v>0</v>
      </c>
      <c r="L282" s="13">
        <f t="shared" si="74"/>
        <v>50000</v>
      </c>
      <c r="M282" s="13">
        <f t="shared" si="74"/>
        <v>0</v>
      </c>
      <c r="N282" s="13">
        <f t="shared" si="74"/>
        <v>0</v>
      </c>
      <c r="O282" s="13">
        <f t="shared" si="74"/>
        <v>0</v>
      </c>
      <c r="P282" s="13">
        <f t="shared" si="74"/>
        <v>0</v>
      </c>
      <c r="Q282" s="13">
        <f t="shared" si="74"/>
        <v>0</v>
      </c>
      <c r="R282" s="13">
        <f t="shared" si="74"/>
        <v>0</v>
      </c>
      <c r="S282" s="13">
        <f t="shared" si="74"/>
        <v>0</v>
      </c>
      <c r="T282" s="13">
        <f t="shared" si="74"/>
        <v>0</v>
      </c>
      <c r="U282" s="101"/>
      <c r="V282" s="87">
        <f t="shared" si="70"/>
        <v>50000</v>
      </c>
    </row>
    <row r="283" spans="1:22" ht="59.25" customHeight="1">
      <c r="A283" s="56" t="s">
        <v>87</v>
      </c>
      <c r="B283" s="48" t="s">
        <v>177</v>
      </c>
      <c r="C283" s="23" t="s">
        <v>69</v>
      </c>
      <c r="D283" s="10">
        <v>7010110300</v>
      </c>
      <c r="E283" s="10">
        <v>633</v>
      </c>
      <c r="F283" s="10">
        <v>290</v>
      </c>
      <c r="G283" s="14"/>
      <c r="H283" s="14">
        <v>50000</v>
      </c>
      <c r="I283" s="14">
        <v>0</v>
      </c>
      <c r="J283" s="14">
        <v>0</v>
      </c>
      <c r="K283" s="14">
        <v>0</v>
      </c>
      <c r="L283" s="14">
        <v>50000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00"/>
      <c r="V283" s="15">
        <f t="shared" si="70"/>
        <v>50000</v>
      </c>
    </row>
    <row r="284" spans="1:22" ht="12.75">
      <c r="A284" s="56"/>
      <c r="B284" s="25"/>
      <c r="C284" s="11"/>
      <c r="D284" s="10"/>
      <c r="E284" s="10"/>
      <c r="F284" s="10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00"/>
      <c r="V284" s="15">
        <f t="shared" si="70"/>
        <v>0</v>
      </c>
    </row>
    <row r="285" spans="1:22" ht="12.75">
      <c r="A285" s="56"/>
      <c r="B285" s="25" t="s">
        <v>45</v>
      </c>
      <c r="C285" s="25" t="s">
        <v>69</v>
      </c>
      <c r="D285" s="10"/>
      <c r="E285" s="10"/>
      <c r="F285" s="10"/>
      <c r="G285" s="14"/>
      <c r="H285" s="30">
        <f aca="true" t="shared" si="75" ref="H285:T285">H282</f>
        <v>50000</v>
      </c>
      <c r="I285" s="30">
        <f t="shared" si="75"/>
        <v>0</v>
      </c>
      <c r="J285" s="30">
        <f t="shared" si="75"/>
        <v>0</v>
      </c>
      <c r="K285" s="30">
        <f t="shared" si="75"/>
        <v>0</v>
      </c>
      <c r="L285" s="30">
        <f t="shared" si="75"/>
        <v>50000</v>
      </c>
      <c r="M285" s="30">
        <f t="shared" si="75"/>
        <v>0</v>
      </c>
      <c r="N285" s="30">
        <f t="shared" si="75"/>
        <v>0</v>
      </c>
      <c r="O285" s="30">
        <f t="shared" si="75"/>
        <v>0</v>
      </c>
      <c r="P285" s="30">
        <f t="shared" si="75"/>
        <v>0</v>
      </c>
      <c r="Q285" s="30">
        <f t="shared" si="75"/>
        <v>0</v>
      </c>
      <c r="R285" s="30">
        <f t="shared" si="75"/>
        <v>0</v>
      </c>
      <c r="S285" s="30">
        <f t="shared" si="75"/>
        <v>0</v>
      </c>
      <c r="T285" s="30">
        <f t="shared" si="75"/>
        <v>0</v>
      </c>
      <c r="U285" s="102"/>
      <c r="V285" s="86">
        <f t="shared" si="70"/>
        <v>50000</v>
      </c>
    </row>
    <row r="286" spans="1:22" ht="12.75">
      <c r="A286" s="56"/>
      <c r="B286" s="25"/>
      <c r="C286" s="26"/>
      <c r="D286" s="16"/>
      <c r="E286" s="16"/>
      <c r="F286" s="16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00"/>
      <c r="V286" s="15">
        <f t="shared" si="70"/>
        <v>0</v>
      </c>
    </row>
    <row r="287" spans="1:22" ht="12.75">
      <c r="A287" s="66"/>
      <c r="B287" s="92" t="s">
        <v>70</v>
      </c>
      <c r="C287" s="68"/>
      <c r="D287" s="44"/>
      <c r="E287" s="44"/>
      <c r="F287" s="44"/>
      <c r="G287" s="49"/>
      <c r="H287" s="42">
        <f aca="true" t="shared" si="76" ref="H287:T287">H282+H277</f>
        <v>438200</v>
      </c>
      <c r="I287" s="42">
        <f t="shared" si="76"/>
        <v>0</v>
      </c>
      <c r="J287" s="42">
        <f t="shared" si="76"/>
        <v>32300</v>
      </c>
      <c r="K287" s="42">
        <f t="shared" si="76"/>
        <v>32400</v>
      </c>
      <c r="L287" s="42">
        <f t="shared" si="76"/>
        <v>82300</v>
      </c>
      <c r="M287" s="42">
        <f t="shared" si="76"/>
        <v>32300</v>
      </c>
      <c r="N287" s="42">
        <f t="shared" si="76"/>
        <v>32400</v>
      </c>
      <c r="O287" s="42">
        <f t="shared" si="76"/>
        <v>32300</v>
      </c>
      <c r="P287" s="42">
        <f t="shared" si="76"/>
        <v>32400</v>
      </c>
      <c r="Q287" s="42">
        <f t="shared" si="76"/>
        <v>32400</v>
      </c>
      <c r="R287" s="42">
        <f t="shared" si="76"/>
        <v>32300</v>
      </c>
      <c r="S287" s="42">
        <f t="shared" si="76"/>
        <v>32400</v>
      </c>
      <c r="T287" s="42">
        <f t="shared" si="76"/>
        <v>64700</v>
      </c>
      <c r="U287" s="104"/>
      <c r="V287" s="50">
        <f t="shared" si="70"/>
        <v>438200</v>
      </c>
    </row>
    <row r="288" spans="1:22" ht="12.75">
      <c r="A288" s="56"/>
      <c r="B288" s="23"/>
      <c r="C288" s="16"/>
      <c r="D288" s="16"/>
      <c r="E288" s="16"/>
      <c r="F288" s="16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00"/>
      <c r="V288" s="15">
        <f t="shared" si="70"/>
        <v>0</v>
      </c>
    </row>
    <row r="289" spans="1:22" ht="63.75">
      <c r="A289" s="62" t="s">
        <v>87</v>
      </c>
      <c r="B289" s="90" t="s">
        <v>135</v>
      </c>
      <c r="C289" s="37" t="s">
        <v>24</v>
      </c>
      <c r="D289" s="37">
        <v>7100000000</v>
      </c>
      <c r="E289" s="36"/>
      <c r="F289" s="36"/>
      <c r="G289" s="37"/>
      <c r="H289" s="13">
        <f aca="true" t="shared" si="77" ref="H289:T289">H291+H305+H308</f>
        <v>6086300</v>
      </c>
      <c r="I289" s="13">
        <f t="shared" si="77"/>
        <v>368150</v>
      </c>
      <c r="J289" s="13">
        <f t="shared" si="77"/>
        <v>503150</v>
      </c>
      <c r="K289" s="13">
        <f t="shared" si="77"/>
        <v>517620</v>
      </c>
      <c r="L289" s="13">
        <f t="shared" si="77"/>
        <v>494662.2</v>
      </c>
      <c r="M289" s="13">
        <f t="shared" si="77"/>
        <v>482900</v>
      </c>
      <c r="N289" s="13">
        <f t="shared" si="77"/>
        <v>479200</v>
      </c>
      <c r="O289" s="13">
        <f t="shared" si="77"/>
        <v>631100</v>
      </c>
      <c r="P289" s="13">
        <f t="shared" si="77"/>
        <v>460050</v>
      </c>
      <c r="Q289" s="13">
        <f t="shared" si="77"/>
        <v>463421.75</v>
      </c>
      <c r="R289" s="13">
        <f t="shared" si="77"/>
        <v>483522.72</v>
      </c>
      <c r="S289" s="13">
        <f t="shared" si="77"/>
        <v>638150</v>
      </c>
      <c r="T289" s="13">
        <f t="shared" si="77"/>
        <v>564373.3300000001</v>
      </c>
      <c r="U289" s="101"/>
      <c r="V289" s="87">
        <f>V291+V308+V305</f>
        <v>6086300</v>
      </c>
    </row>
    <row r="290" spans="1:22" ht="12.75">
      <c r="A290" s="56"/>
      <c r="B290" s="67"/>
      <c r="C290" s="12"/>
      <c r="D290" s="12"/>
      <c r="E290" s="12"/>
      <c r="F290" s="12"/>
      <c r="G290" s="31"/>
      <c r="H290" s="3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00"/>
      <c r="V290" s="15">
        <f>SUM(I290:T290)</f>
        <v>0</v>
      </c>
    </row>
    <row r="291" spans="1:22" ht="63.75">
      <c r="A291" s="62" t="s">
        <v>87</v>
      </c>
      <c r="B291" s="90" t="s">
        <v>136</v>
      </c>
      <c r="C291" s="37" t="s">
        <v>24</v>
      </c>
      <c r="D291" s="37">
        <v>7110000000</v>
      </c>
      <c r="E291" s="36"/>
      <c r="F291" s="36"/>
      <c r="G291" s="37"/>
      <c r="H291" s="13">
        <f aca="true" t="shared" si="78" ref="H291:T291">H292+H293+H294+H295+H296+H297+H298+H299+H301+H302+H303+H300</f>
        <v>5876300</v>
      </c>
      <c r="I291" s="13">
        <f t="shared" si="78"/>
        <v>254650</v>
      </c>
      <c r="J291" s="13">
        <f t="shared" si="78"/>
        <v>482650</v>
      </c>
      <c r="K291" s="13">
        <f t="shared" si="78"/>
        <v>507120</v>
      </c>
      <c r="L291" s="13">
        <f t="shared" si="78"/>
        <v>484662.2</v>
      </c>
      <c r="M291" s="13">
        <f t="shared" si="78"/>
        <v>475650</v>
      </c>
      <c r="N291" s="13">
        <f t="shared" si="78"/>
        <v>466700</v>
      </c>
      <c r="O291" s="13">
        <f t="shared" si="78"/>
        <v>612350</v>
      </c>
      <c r="P291" s="13">
        <f t="shared" si="78"/>
        <v>447550</v>
      </c>
      <c r="Q291" s="13">
        <f t="shared" si="78"/>
        <v>463421.75</v>
      </c>
      <c r="R291" s="13">
        <f t="shared" si="78"/>
        <v>483522.72</v>
      </c>
      <c r="S291" s="13">
        <f t="shared" si="78"/>
        <v>633650</v>
      </c>
      <c r="T291" s="13">
        <f t="shared" si="78"/>
        <v>564373.3300000001</v>
      </c>
      <c r="U291" s="58"/>
      <c r="V291" s="88">
        <f>V292+V293+V294+V295+V296+V297+V298+V299+V301+V302+V303+V300</f>
        <v>5876300</v>
      </c>
    </row>
    <row r="292" spans="1:22" ht="102">
      <c r="A292" s="56" t="s">
        <v>87</v>
      </c>
      <c r="B292" s="109" t="s">
        <v>178</v>
      </c>
      <c r="C292" s="10" t="s">
        <v>24</v>
      </c>
      <c r="D292" s="10">
        <v>7110100590</v>
      </c>
      <c r="E292" s="10">
        <v>611</v>
      </c>
      <c r="F292" s="10">
        <v>211</v>
      </c>
      <c r="G292" s="10">
        <v>211</v>
      </c>
      <c r="H292" s="14">
        <v>4044500</v>
      </c>
      <c r="I292" s="14">
        <f>135000-33146.05</f>
        <v>101853.95</v>
      </c>
      <c r="J292" s="14">
        <f>334500+2800</f>
        <v>337300</v>
      </c>
      <c r="K292" s="14">
        <f>334500+2800</f>
        <v>337300</v>
      </c>
      <c r="L292" s="14">
        <f>334500+2700</f>
        <v>337200</v>
      </c>
      <c r="M292" s="14">
        <f>334500+2700</f>
        <v>337200</v>
      </c>
      <c r="N292" s="14">
        <f>334500+2700</f>
        <v>337200</v>
      </c>
      <c r="O292" s="14">
        <f>334550+98700</f>
        <v>433250</v>
      </c>
      <c r="P292" s="14">
        <v>334500</v>
      </c>
      <c r="Q292" s="14">
        <v>334500</v>
      </c>
      <c r="R292" s="14">
        <f>334500+2772.72</f>
        <v>337272.72</v>
      </c>
      <c r="S292" s="14">
        <f>334500+100700</f>
        <v>435200</v>
      </c>
      <c r="T292" s="14">
        <f>334500+33146.05+14077.28</f>
        <v>381723.33</v>
      </c>
      <c r="U292" s="100"/>
      <c r="V292" s="15">
        <f aca="true" t="shared" si="79" ref="V292:V303">SUM(I292:T292)</f>
        <v>4044500</v>
      </c>
    </row>
    <row r="293" spans="1:22" ht="102">
      <c r="A293" s="56" t="s">
        <v>87</v>
      </c>
      <c r="B293" s="109" t="s">
        <v>179</v>
      </c>
      <c r="C293" s="10" t="s">
        <v>24</v>
      </c>
      <c r="D293" s="10">
        <v>7110100590</v>
      </c>
      <c r="E293" s="10">
        <v>611</v>
      </c>
      <c r="F293" s="10">
        <v>213</v>
      </c>
      <c r="G293" s="10">
        <v>219</v>
      </c>
      <c r="H293" s="14">
        <v>1221400</v>
      </c>
      <c r="I293" s="14">
        <v>0</v>
      </c>
      <c r="J293" s="14">
        <v>101100</v>
      </c>
      <c r="K293" s="14">
        <v>101100</v>
      </c>
      <c r="L293" s="14">
        <v>101100</v>
      </c>
      <c r="M293" s="14">
        <v>101100</v>
      </c>
      <c r="N293" s="14">
        <v>101100</v>
      </c>
      <c r="O293" s="14">
        <v>151100</v>
      </c>
      <c r="P293" s="14">
        <f>81200</f>
        <v>81200</v>
      </c>
      <c r="Q293" s="14">
        <v>81200</v>
      </c>
      <c r="R293" s="14">
        <f>81200+40500</f>
        <v>121700</v>
      </c>
      <c r="S293" s="14">
        <f>101100+50000</f>
        <v>151100</v>
      </c>
      <c r="T293" s="14">
        <f>101100+50000-30600+9100</f>
        <v>129600</v>
      </c>
      <c r="U293" s="100"/>
      <c r="V293" s="15">
        <f t="shared" si="79"/>
        <v>1221400</v>
      </c>
    </row>
    <row r="294" spans="1:22" ht="12.75" hidden="1">
      <c r="A294" s="56" t="s">
        <v>87</v>
      </c>
      <c r="B294" s="23" t="s">
        <v>13</v>
      </c>
      <c r="C294" s="16" t="s">
        <v>24</v>
      </c>
      <c r="D294" s="10">
        <v>7110100590</v>
      </c>
      <c r="E294" s="16">
        <v>611</v>
      </c>
      <c r="F294" s="16">
        <v>226</v>
      </c>
      <c r="G294" s="31"/>
      <c r="H294" s="14">
        <f>V294</f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00"/>
      <c r="V294" s="15">
        <f t="shared" si="79"/>
        <v>0</v>
      </c>
    </row>
    <row r="295" spans="1:22" ht="140.25">
      <c r="A295" s="56" t="s">
        <v>87</v>
      </c>
      <c r="B295" s="48" t="s">
        <v>194</v>
      </c>
      <c r="C295" s="10" t="s">
        <v>24</v>
      </c>
      <c r="D295" s="10">
        <v>7110100590</v>
      </c>
      <c r="E295" s="10">
        <v>611</v>
      </c>
      <c r="F295" s="10">
        <v>221</v>
      </c>
      <c r="G295" s="10" t="s">
        <v>71</v>
      </c>
      <c r="H295" s="14">
        <v>36300</v>
      </c>
      <c r="I295" s="14">
        <f aca="true" t="shared" si="80" ref="I295:N295">2500+1600-1100</f>
        <v>3000</v>
      </c>
      <c r="J295" s="14">
        <f t="shared" si="80"/>
        <v>3000</v>
      </c>
      <c r="K295" s="14">
        <f t="shared" si="80"/>
        <v>3000</v>
      </c>
      <c r="L295" s="14">
        <f t="shared" si="80"/>
        <v>3000</v>
      </c>
      <c r="M295" s="14">
        <f t="shared" si="80"/>
        <v>3000</v>
      </c>
      <c r="N295" s="14">
        <f t="shared" si="80"/>
        <v>3000</v>
      </c>
      <c r="O295" s="14">
        <v>1600</v>
      </c>
      <c r="P295" s="14">
        <f>2500+1600-1100</f>
        <v>3000</v>
      </c>
      <c r="Q295" s="14">
        <f>2500+1600-1100</f>
        <v>3000</v>
      </c>
      <c r="R295" s="14">
        <f>2500+1600-1100</f>
        <v>3000</v>
      </c>
      <c r="S295" s="14">
        <v>4000</v>
      </c>
      <c r="T295" s="14">
        <v>3700</v>
      </c>
      <c r="U295" s="100"/>
      <c r="V295" s="15">
        <f t="shared" si="79"/>
        <v>36300</v>
      </c>
    </row>
    <row r="296" spans="1:22" ht="140.25">
      <c r="A296" s="56" t="s">
        <v>87</v>
      </c>
      <c r="B296" s="48" t="s">
        <v>194</v>
      </c>
      <c r="C296" s="10" t="s">
        <v>24</v>
      </c>
      <c r="D296" s="10">
        <v>7110100590</v>
      </c>
      <c r="E296" s="10">
        <v>611</v>
      </c>
      <c r="F296" s="10">
        <v>221</v>
      </c>
      <c r="G296" s="10" t="s">
        <v>72</v>
      </c>
      <c r="H296" s="14">
        <v>7000</v>
      </c>
      <c r="I296" s="14">
        <v>500</v>
      </c>
      <c r="J296" s="14">
        <v>500</v>
      </c>
      <c r="K296" s="14">
        <v>500</v>
      </c>
      <c r="L296" s="14">
        <v>500</v>
      </c>
      <c r="M296" s="14">
        <v>500</v>
      </c>
      <c r="N296" s="14">
        <v>500</v>
      </c>
      <c r="O296" s="14">
        <v>500</v>
      </c>
      <c r="P296" s="14">
        <v>500</v>
      </c>
      <c r="Q296" s="14">
        <v>500</v>
      </c>
      <c r="R296" s="14">
        <v>500</v>
      </c>
      <c r="S296" s="14">
        <v>1000</v>
      </c>
      <c r="T296" s="14">
        <v>1000</v>
      </c>
      <c r="U296" s="100"/>
      <c r="V296" s="15">
        <f t="shared" si="79"/>
        <v>7000</v>
      </c>
    </row>
    <row r="297" spans="1:22" ht="114.75">
      <c r="A297" s="56" t="s">
        <v>87</v>
      </c>
      <c r="B297" s="110" t="s">
        <v>180</v>
      </c>
      <c r="C297" s="10" t="s">
        <v>24</v>
      </c>
      <c r="D297" s="10">
        <v>7110100590</v>
      </c>
      <c r="E297" s="10">
        <v>611</v>
      </c>
      <c r="F297" s="10">
        <v>223</v>
      </c>
      <c r="G297" s="10" t="s">
        <v>229</v>
      </c>
      <c r="H297" s="14">
        <f>180900+128000</f>
        <v>308900</v>
      </c>
      <c r="I297" s="14">
        <f>14000+8800-10971.75+50000</f>
        <v>61828.25</v>
      </c>
      <c r="J297" s="14">
        <f>14400+33000-20000</f>
        <v>27400</v>
      </c>
      <c r="K297" s="14">
        <f>25000+19500-30000</f>
        <v>14500</v>
      </c>
      <c r="L297" s="14">
        <f>14500+15500</f>
        <v>30000</v>
      </c>
      <c r="M297" s="14">
        <v>22000</v>
      </c>
      <c r="N297" s="14">
        <v>14000</v>
      </c>
      <c r="O297" s="14">
        <v>14000</v>
      </c>
      <c r="P297" s="14">
        <v>14000</v>
      </c>
      <c r="Q297" s="14">
        <f>6700+10971.75</f>
        <v>17671.75</v>
      </c>
      <c r="R297" s="14">
        <f>14000+6200</f>
        <v>20200</v>
      </c>
      <c r="S297" s="14">
        <f>20000+14500</f>
        <v>34500</v>
      </c>
      <c r="T297" s="14">
        <f>8300+30500</f>
        <v>38800</v>
      </c>
      <c r="U297" s="100"/>
      <c r="V297" s="15">
        <f t="shared" si="79"/>
        <v>308900</v>
      </c>
    </row>
    <row r="298" spans="1:22" ht="98.25" customHeight="1">
      <c r="A298" s="56" t="s">
        <v>87</v>
      </c>
      <c r="B298" s="48" t="s">
        <v>187</v>
      </c>
      <c r="C298" s="10" t="s">
        <v>24</v>
      </c>
      <c r="D298" s="10">
        <v>7110100590</v>
      </c>
      <c r="E298" s="10">
        <v>611</v>
      </c>
      <c r="F298" s="10">
        <v>223</v>
      </c>
      <c r="G298" s="10" t="s">
        <v>38</v>
      </c>
      <c r="H298" s="14">
        <v>10300</v>
      </c>
      <c r="I298" s="14">
        <v>850</v>
      </c>
      <c r="J298" s="14">
        <v>850</v>
      </c>
      <c r="K298" s="14">
        <v>850</v>
      </c>
      <c r="L298" s="14">
        <v>850</v>
      </c>
      <c r="M298" s="14">
        <v>850</v>
      </c>
      <c r="N298" s="14">
        <v>900</v>
      </c>
      <c r="O298" s="14">
        <v>900</v>
      </c>
      <c r="P298" s="14">
        <v>850</v>
      </c>
      <c r="Q298" s="14">
        <v>850</v>
      </c>
      <c r="R298" s="14">
        <v>850</v>
      </c>
      <c r="S298" s="14">
        <v>850</v>
      </c>
      <c r="T298" s="14">
        <v>850</v>
      </c>
      <c r="U298" s="100"/>
      <c r="V298" s="15">
        <f t="shared" si="79"/>
        <v>10300</v>
      </c>
    </row>
    <row r="299" spans="1:22" ht="102.75" customHeight="1" hidden="1">
      <c r="A299" s="56" t="s">
        <v>87</v>
      </c>
      <c r="B299" s="111" t="s">
        <v>180</v>
      </c>
      <c r="C299" s="10" t="s">
        <v>24</v>
      </c>
      <c r="D299" s="10">
        <v>7110100590</v>
      </c>
      <c r="E299" s="10">
        <v>611</v>
      </c>
      <c r="F299" s="10">
        <v>223</v>
      </c>
      <c r="G299" s="10" t="s">
        <v>40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00"/>
      <c r="V299" s="15">
        <f t="shared" si="79"/>
        <v>0</v>
      </c>
    </row>
    <row r="300" spans="1:22" ht="102" customHeight="1">
      <c r="A300" s="56" t="s">
        <v>87</v>
      </c>
      <c r="B300" s="63" t="s">
        <v>184</v>
      </c>
      <c r="C300" s="10" t="s">
        <v>24</v>
      </c>
      <c r="D300" s="10">
        <v>7110100590</v>
      </c>
      <c r="E300" s="10">
        <v>611</v>
      </c>
      <c r="F300" s="10">
        <v>226</v>
      </c>
      <c r="G300" s="10">
        <v>226</v>
      </c>
      <c r="H300" s="14">
        <v>146200</v>
      </c>
      <c r="I300" s="14">
        <f>1500+11000+62487.8</f>
        <v>74987.8</v>
      </c>
      <c r="J300" s="14">
        <v>7000</v>
      </c>
      <c r="K300" s="14">
        <v>7000</v>
      </c>
      <c r="L300" s="14">
        <f>43100-11000-24087.8</f>
        <v>8012.200000000001</v>
      </c>
      <c r="M300" s="14">
        <v>7000</v>
      </c>
      <c r="N300" s="14">
        <v>6000</v>
      </c>
      <c r="O300" s="14">
        <v>7000</v>
      </c>
      <c r="P300" s="14">
        <v>8500</v>
      </c>
      <c r="Q300" s="14">
        <v>5000</v>
      </c>
      <c r="R300" s="14">
        <v>0</v>
      </c>
      <c r="S300" s="14">
        <v>7000</v>
      </c>
      <c r="T300" s="14">
        <v>8700</v>
      </c>
      <c r="U300" s="100"/>
      <c r="V300" s="15">
        <f t="shared" si="79"/>
        <v>146200</v>
      </c>
    </row>
    <row r="301" spans="1:22" ht="114.75">
      <c r="A301" s="56" t="s">
        <v>87</v>
      </c>
      <c r="B301" s="48" t="s">
        <v>182</v>
      </c>
      <c r="C301" s="10" t="s">
        <v>24</v>
      </c>
      <c r="D301" s="10">
        <v>7110100590</v>
      </c>
      <c r="E301" s="10">
        <v>611</v>
      </c>
      <c r="F301" s="10">
        <v>850</v>
      </c>
      <c r="G301" s="10" t="s">
        <v>50</v>
      </c>
      <c r="H301" s="14">
        <v>65000</v>
      </c>
      <c r="I301" s="14">
        <f>50500-38870</f>
        <v>11630</v>
      </c>
      <c r="J301" s="14">
        <v>1500</v>
      </c>
      <c r="K301" s="14">
        <v>38870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13000</v>
      </c>
      <c r="R301" s="14">
        <v>0</v>
      </c>
      <c r="S301" s="14">
        <v>0</v>
      </c>
      <c r="T301" s="14">
        <v>0</v>
      </c>
      <c r="U301" s="100"/>
      <c r="V301" s="15">
        <f t="shared" si="79"/>
        <v>65000</v>
      </c>
    </row>
    <row r="302" spans="1:22" ht="12.75" hidden="1">
      <c r="A302" s="56" t="s">
        <v>87</v>
      </c>
      <c r="B302" s="23" t="s">
        <v>16</v>
      </c>
      <c r="C302" s="16" t="s">
        <v>24</v>
      </c>
      <c r="D302" s="10">
        <v>7110100590</v>
      </c>
      <c r="E302" s="16">
        <v>611</v>
      </c>
      <c r="F302" s="16">
        <v>310</v>
      </c>
      <c r="G302" s="10"/>
      <c r="H302" s="14">
        <f>V302</f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00"/>
      <c r="V302" s="15">
        <f t="shared" si="79"/>
        <v>0</v>
      </c>
    </row>
    <row r="303" spans="1:22" ht="114.75">
      <c r="A303" s="56" t="s">
        <v>87</v>
      </c>
      <c r="B303" s="48" t="s">
        <v>183</v>
      </c>
      <c r="C303" s="10" t="s">
        <v>24</v>
      </c>
      <c r="D303" s="10">
        <v>7110100590</v>
      </c>
      <c r="E303" s="10">
        <v>611</v>
      </c>
      <c r="F303" s="10">
        <v>340</v>
      </c>
      <c r="G303" s="10">
        <v>340</v>
      </c>
      <c r="H303" s="14">
        <v>36700</v>
      </c>
      <c r="I303" s="14">
        <v>0</v>
      </c>
      <c r="J303" s="14">
        <v>4000</v>
      </c>
      <c r="K303" s="14">
        <v>4000</v>
      </c>
      <c r="L303" s="14">
        <v>4000</v>
      </c>
      <c r="M303" s="14">
        <v>4000</v>
      </c>
      <c r="N303" s="14">
        <v>4000</v>
      </c>
      <c r="O303" s="14">
        <v>4000</v>
      </c>
      <c r="P303" s="14">
        <v>5000</v>
      </c>
      <c r="Q303" s="14">
        <f>6100+1600</f>
        <v>7700</v>
      </c>
      <c r="R303" s="14">
        <v>0</v>
      </c>
      <c r="S303" s="14">
        <v>0</v>
      </c>
      <c r="T303" s="14">
        <v>0</v>
      </c>
      <c r="U303" s="100"/>
      <c r="V303" s="15">
        <f t="shared" si="79"/>
        <v>36700</v>
      </c>
    </row>
    <row r="304" spans="1:22" ht="12.75">
      <c r="A304" s="56" t="s">
        <v>87</v>
      </c>
      <c r="B304" s="63"/>
      <c r="C304" s="16"/>
      <c r="D304" s="16"/>
      <c r="E304" s="16"/>
      <c r="F304" s="16"/>
      <c r="G304" s="10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00"/>
      <c r="V304" s="15"/>
    </row>
    <row r="305" spans="1:22" ht="66" customHeight="1">
      <c r="A305" s="62" t="s">
        <v>87</v>
      </c>
      <c r="B305" s="90" t="s">
        <v>138</v>
      </c>
      <c r="C305" s="37" t="s">
        <v>24</v>
      </c>
      <c r="D305" s="37">
        <v>7120000000</v>
      </c>
      <c r="E305" s="37"/>
      <c r="F305" s="37"/>
      <c r="G305" s="37"/>
      <c r="H305" s="13">
        <f aca="true" t="shared" si="81" ref="H305:T305">H306</f>
        <v>200000</v>
      </c>
      <c r="I305" s="13">
        <f t="shared" si="81"/>
        <v>113500</v>
      </c>
      <c r="J305" s="13">
        <f t="shared" si="81"/>
        <v>20500</v>
      </c>
      <c r="K305" s="13">
        <f t="shared" si="81"/>
        <v>10499.999999999998</v>
      </c>
      <c r="L305" s="13">
        <f t="shared" si="81"/>
        <v>0</v>
      </c>
      <c r="M305" s="13">
        <f t="shared" si="81"/>
        <v>7249.999999999996</v>
      </c>
      <c r="N305" s="13">
        <f t="shared" si="81"/>
        <v>12499.999999999998</v>
      </c>
      <c r="O305" s="13">
        <f t="shared" si="81"/>
        <v>18750</v>
      </c>
      <c r="P305" s="13">
        <f t="shared" si="81"/>
        <v>12499.999999999996</v>
      </c>
      <c r="Q305" s="13">
        <f t="shared" si="81"/>
        <v>0</v>
      </c>
      <c r="R305" s="13">
        <f t="shared" si="81"/>
        <v>0</v>
      </c>
      <c r="S305" s="13">
        <f t="shared" si="81"/>
        <v>4500</v>
      </c>
      <c r="T305" s="13">
        <f t="shared" si="81"/>
        <v>0</v>
      </c>
      <c r="U305" s="101"/>
      <c r="V305" s="87">
        <f>SUM(I305:T305)</f>
        <v>200000</v>
      </c>
    </row>
    <row r="306" spans="1:22" ht="97.5" customHeight="1">
      <c r="A306" s="56" t="s">
        <v>87</v>
      </c>
      <c r="B306" s="48" t="s">
        <v>188</v>
      </c>
      <c r="C306" s="10" t="s">
        <v>24</v>
      </c>
      <c r="D306" s="10">
        <v>7120100380</v>
      </c>
      <c r="E306" s="10">
        <v>611</v>
      </c>
      <c r="F306" s="10">
        <v>290</v>
      </c>
      <c r="G306" s="14"/>
      <c r="H306" s="14">
        <v>200000</v>
      </c>
      <c r="I306" s="14">
        <v>113500</v>
      </c>
      <c r="J306" s="14">
        <f>16666.67+3833.33</f>
        <v>20500</v>
      </c>
      <c r="K306" s="14">
        <f>16666.67-6166.67</f>
        <v>10499.999999999998</v>
      </c>
      <c r="L306" s="14">
        <v>0</v>
      </c>
      <c r="M306" s="14">
        <f>16666.67+16666.67-26083.34</f>
        <v>7249.999999999996</v>
      </c>
      <c r="N306" s="14">
        <f>16666.67-4166.67</f>
        <v>12499.999999999998</v>
      </c>
      <c r="O306" s="14">
        <f>16666.67-2083.33+4166.66</f>
        <v>18750</v>
      </c>
      <c r="P306" s="14">
        <f>16666.67+4166.67-8333.34</f>
        <v>12499.999999999996</v>
      </c>
      <c r="Q306" s="14">
        <v>0</v>
      </c>
      <c r="R306" s="14">
        <v>0</v>
      </c>
      <c r="S306" s="14">
        <f>16666.67+16666.67-4166.66+42750.01-67416.69</f>
        <v>4500</v>
      </c>
      <c r="T306" s="14">
        <v>0</v>
      </c>
      <c r="U306" s="100"/>
      <c r="V306" s="15">
        <f>SUM(I306:T306)</f>
        <v>200000</v>
      </c>
    </row>
    <row r="307" spans="1:22" ht="12.75">
      <c r="A307" s="56" t="s">
        <v>87</v>
      </c>
      <c r="B307" s="23"/>
      <c r="C307" s="16"/>
      <c r="D307" s="16"/>
      <c r="E307" s="16"/>
      <c r="F307" s="16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 t="s">
        <v>94</v>
      </c>
      <c r="T307" s="14"/>
      <c r="U307" s="100"/>
      <c r="V307" s="15">
        <f>SUM(I307:T307)</f>
        <v>0</v>
      </c>
    </row>
    <row r="308" spans="1:22" ht="63.75">
      <c r="A308" s="62" t="s">
        <v>87</v>
      </c>
      <c r="B308" s="90" t="s">
        <v>137</v>
      </c>
      <c r="C308" s="37" t="s">
        <v>24</v>
      </c>
      <c r="D308" s="37">
        <v>7130000000</v>
      </c>
      <c r="E308" s="35"/>
      <c r="F308" s="35"/>
      <c r="G308" s="24"/>
      <c r="H308" s="13">
        <f aca="true" t="shared" si="82" ref="H308:S308">H309</f>
        <v>10000</v>
      </c>
      <c r="I308" s="13">
        <f t="shared" si="82"/>
        <v>0</v>
      </c>
      <c r="J308" s="13">
        <f t="shared" si="82"/>
        <v>0</v>
      </c>
      <c r="K308" s="13">
        <f t="shared" si="82"/>
        <v>0</v>
      </c>
      <c r="L308" s="13">
        <f t="shared" si="82"/>
        <v>10000</v>
      </c>
      <c r="M308" s="13">
        <f t="shared" si="82"/>
        <v>0</v>
      </c>
      <c r="N308" s="13">
        <f t="shared" si="82"/>
        <v>0</v>
      </c>
      <c r="O308" s="13">
        <f t="shared" si="82"/>
        <v>0</v>
      </c>
      <c r="P308" s="13">
        <f t="shared" si="82"/>
        <v>0</v>
      </c>
      <c r="Q308" s="13">
        <f t="shared" si="82"/>
        <v>0</v>
      </c>
      <c r="R308" s="13">
        <f t="shared" si="82"/>
        <v>0</v>
      </c>
      <c r="S308" s="13">
        <f t="shared" si="82"/>
        <v>0</v>
      </c>
      <c r="T308" s="13">
        <v>0</v>
      </c>
      <c r="U308" s="101"/>
      <c r="V308" s="87">
        <f>V309</f>
        <v>10000</v>
      </c>
    </row>
    <row r="309" spans="1:22" ht="42" customHeight="1">
      <c r="A309" s="56" t="s">
        <v>87</v>
      </c>
      <c r="B309" s="48" t="s">
        <v>189</v>
      </c>
      <c r="C309" s="10" t="s">
        <v>24</v>
      </c>
      <c r="D309" s="10">
        <v>7130100390</v>
      </c>
      <c r="E309" s="10">
        <v>240</v>
      </c>
      <c r="F309" s="10">
        <v>226</v>
      </c>
      <c r="G309" s="14"/>
      <c r="H309" s="14">
        <v>10000</v>
      </c>
      <c r="I309" s="14">
        <v>0</v>
      </c>
      <c r="J309" s="14">
        <v>0</v>
      </c>
      <c r="K309" s="14">
        <v>0</v>
      </c>
      <c r="L309" s="14">
        <v>10000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00"/>
      <c r="V309" s="15">
        <f>SUM(I309:T309)</f>
        <v>10000</v>
      </c>
    </row>
    <row r="310" spans="1:22" ht="12.75">
      <c r="A310" s="56"/>
      <c r="B310" s="23"/>
      <c r="C310" s="10"/>
      <c r="D310" s="10"/>
      <c r="E310" s="10"/>
      <c r="F310" s="10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07"/>
      <c r="V310" s="15"/>
    </row>
    <row r="311" spans="1:22" ht="12.75">
      <c r="A311" s="56"/>
      <c r="B311" s="25" t="s">
        <v>45</v>
      </c>
      <c r="C311" s="25" t="s">
        <v>24</v>
      </c>
      <c r="D311" s="16"/>
      <c r="E311" s="16"/>
      <c r="F311" s="16"/>
      <c r="G311" s="14"/>
      <c r="H311" s="30">
        <f aca="true" t="shared" si="83" ref="H311:T311">H308+H305+H291</f>
        <v>6086300</v>
      </c>
      <c r="I311" s="30">
        <f t="shared" si="83"/>
        <v>368150</v>
      </c>
      <c r="J311" s="30">
        <f t="shared" si="83"/>
        <v>503150</v>
      </c>
      <c r="K311" s="30">
        <f t="shared" si="83"/>
        <v>517620</v>
      </c>
      <c r="L311" s="30">
        <f t="shared" si="83"/>
        <v>494662.2</v>
      </c>
      <c r="M311" s="30">
        <f t="shared" si="83"/>
        <v>482900</v>
      </c>
      <c r="N311" s="30">
        <f t="shared" si="83"/>
        <v>479200</v>
      </c>
      <c r="O311" s="30">
        <f t="shared" si="83"/>
        <v>631100</v>
      </c>
      <c r="P311" s="30">
        <f t="shared" si="83"/>
        <v>460050</v>
      </c>
      <c r="Q311" s="30">
        <f t="shared" si="83"/>
        <v>463421.75</v>
      </c>
      <c r="R311" s="30">
        <f t="shared" si="83"/>
        <v>483522.72</v>
      </c>
      <c r="S311" s="30">
        <f t="shared" si="83"/>
        <v>638150</v>
      </c>
      <c r="T311" s="30">
        <f t="shared" si="83"/>
        <v>564373.3300000001</v>
      </c>
      <c r="U311" s="97"/>
      <c r="V311" s="97">
        <f>V308+V305+V291</f>
        <v>6086300</v>
      </c>
    </row>
    <row r="312" spans="1:22" ht="12.75">
      <c r="A312" s="56"/>
      <c r="B312" s="25"/>
      <c r="C312" s="26"/>
      <c r="D312" s="16"/>
      <c r="E312" s="16"/>
      <c r="F312" s="16"/>
      <c r="G312" s="14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102"/>
      <c r="V312" s="15">
        <f>SUM(I312:T312)</f>
        <v>0</v>
      </c>
    </row>
    <row r="313" spans="1:22" ht="25.5" hidden="1">
      <c r="A313" s="56" t="s">
        <v>37</v>
      </c>
      <c r="B313" s="90" t="s">
        <v>76</v>
      </c>
      <c r="C313" s="36" t="s">
        <v>77</v>
      </c>
      <c r="D313" s="36">
        <v>9510010520</v>
      </c>
      <c r="E313" s="36"/>
      <c r="F313" s="36"/>
      <c r="G313" s="13"/>
      <c r="H313" s="13">
        <f aca="true" t="shared" si="84" ref="H313:T313">H314</f>
        <v>0</v>
      </c>
      <c r="I313" s="13">
        <f t="shared" si="84"/>
        <v>0</v>
      </c>
      <c r="J313" s="13">
        <f t="shared" si="84"/>
        <v>0</v>
      </c>
      <c r="K313" s="13">
        <f t="shared" si="84"/>
        <v>0</v>
      </c>
      <c r="L313" s="13">
        <f t="shared" si="84"/>
        <v>0</v>
      </c>
      <c r="M313" s="13">
        <f t="shared" si="84"/>
        <v>0</v>
      </c>
      <c r="N313" s="13">
        <f t="shared" si="84"/>
        <v>0</v>
      </c>
      <c r="O313" s="13">
        <f t="shared" si="84"/>
        <v>0</v>
      </c>
      <c r="P313" s="13">
        <f t="shared" si="84"/>
        <v>0</v>
      </c>
      <c r="Q313" s="13">
        <f t="shared" si="84"/>
        <v>0</v>
      </c>
      <c r="R313" s="13">
        <f t="shared" si="84"/>
        <v>0</v>
      </c>
      <c r="S313" s="13">
        <f t="shared" si="84"/>
        <v>0</v>
      </c>
      <c r="T313" s="13">
        <f t="shared" si="84"/>
        <v>0</v>
      </c>
      <c r="U313" s="101"/>
      <c r="V313" s="15">
        <f>SUM(I313:T313)</f>
        <v>0</v>
      </c>
    </row>
    <row r="314" spans="1:22" ht="38.25" hidden="1">
      <c r="A314" s="56" t="s">
        <v>37</v>
      </c>
      <c r="B314" s="23" t="s">
        <v>14</v>
      </c>
      <c r="C314" s="28" t="s">
        <v>77</v>
      </c>
      <c r="D314" s="16">
        <v>9510010520</v>
      </c>
      <c r="E314" s="16">
        <v>870</v>
      </c>
      <c r="F314" s="16">
        <v>290</v>
      </c>
      <c r="G314" s="71" t="s">
        <v>78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00"/>
      <c r="V314" s="15">
        <f>SUM(I314:T314)</f>
        <v>0</v>
      </c>
    </row>
    <row r="315" spans="1:22" ht="12.75">
      <c r="A315" s="66"/>
      <c r="B315" s="92" t="s">
        <v>74</v>
      </c>
      <c r="C315" s="72"/>
      <c r="D315" s="45"/>
      <c r="E315" s="45"/>
      <c r="F315" s="45"/>
      <c r="G315" s="49"/>
      <c r="H315" s="42">
        <f aca="true" t="shared" si="85" ref="H315:T315">H311</f>
        <v>6086300</v>
      </c>
      <c r="I315" s="42">
        <f t="shared" si="85"/>
        <v>368150</v>
      </c>
      <c r="J315" s="42">
        <f t="shared" si="85"/>
        <v>503150</v>
      </c>
      <c r="K315" s="42">
        <f t="shared" si="85"/>
        <v>517620</v>
      </c>
      <c r="L315" s="42">
        <f t="shared" si="85"/>
        <v>494662.2</v>
      </c>
      <c r="M315" s="42">
        <f t="shared" si="85"/>
        <v>482900</v>
      </c>
      <c r="N315" s="42">
        <f t="shared" si="85"/>
        <v>479200</v>
      </c>
      <c r="O315" s="42">
        <f t="shared" si="85"/>
        <v>631100</v>
      </c>
      <c r="P315" s="42">
        <f t="shared" si="85"/>
        <v>460050</v>
      </c>
      <c r="Q315" s="42">
        <f t="shared" si="85"/>
        <v>463421.75</v>
      </c>
      <c r="R315" s="42">
        <f t="shared" si="85"/>
        <v>483522.72</v>
      </c>
      <c r="S315" s="42">
        <f t="shared" si="85"/>
        <v>638150</v>
      </c>
      <c r="T315" s="42">
        <f t="shared" si="85"/>
        <v>564373.3300000001</v>
      </c>
      <c r="U315" s="104"/>
      <c r="V315" s="50">
        <f>V311</f>
        <v>6086300</v>
      </c>
    </row>
    <row r="316" spans="1:22" ht="12.75">
      <c r="A316" s="60"/>
      <c r="B316" s="43"/>
      <c r="C316" s="61"/>
      <c r="D316" s="10"/>
      <c r="E316" s="10"/>
      <c r="F316" s="10"/>
      <c r="G316" s="14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104"/>
      <c r="V316" s="50"/>
    </row>
    <row r="317" spans="1:22" ht="25.5" hidden="1">
      <c r="A317" s="62" t="s">
        <v>87</v>
      </c>
      <c r="B317" s="90" t="s">
        <v>95</v>
      </c>
      <c r="C317" s="37" t="s">
        <v>77</v>
      </c>
      <c r="D317" s="37">
        <v>8800000000</v>
      </c>
      <c r="E317" s="41"/>
      <c r="F317" s="41"/>
      <c r="G317" s="24"/>
      <c r="H317" s="13">
        <f aca="true" t="shared" si="86" ref="H317:T317">H318</f>
        <v>0</v>
      </c>
      <c r="I317" s="13">
        <f t="shared" si="86"/>
        <v>0</v>
      </c>
      <c r="J317" s="13">
        <f t="shared" si="86"/>
        <v>0</v>
      </c>
      <c r="K317" s="13">
        <f t="shared" si="86"/>
        <v>0</v>
      </c>
      <c r="L317" s="13">
        <f t="shared" si="86"/>
        <v>0</v>
      </c>
      <c r="M317" s="13">
        <f t="shared" si="86"/>
        <v>0</v>
      </c>
      <c r="N317" s="13">
        <f t="shared" si="86"/>
        <v>0</v>
      </c>
      <c r="O317" s="13">
        <f t="shared" si="86"/>
        <v>0</v>
      </c>
      <c r="P317" s="13">
        <f t="shared" si="86"/>
        <v>0</v>
      </c>
      <c r="Q317" s="13">
        <f t="shared" si="86"/>
        <v>0</v>
      </c>
      <c r="R317" s="13">
        <f t="shared" si="86"/>
        <v>0</v>
      </c>
      <c r="S317" s="13">
        <f t="shared" si="86"/>
        <v>0</v>
      </c>
      <c r="T317" s="13">
        <f t="shared" si="86"/>
        <v>0</v>
      </c>
      <c r="U317" s="101"/>
      <c r="V317" s="15">
        <f>SUM(I317:T317)</f>
        <v>0</v>
      </c>
    </row>
    <row r="318" spans="1:22" ht="25.5" hidden="1">
      <c r="A318" s="60" t="s">
        <v>87</v>
      </c>
      <c r="B318" s="48" t="s">
        <v>95</v>
      </c>
      <c r="C318" s="10" t="s">
        <v>77</v>
      </c>
      <c r="D318" s="78" t="s">
        <v>149</v>
      </c>
      <c r="E318" s="10">
        <v>730</v>
      </c>
      <c r="F318" s="10">
        <v>290</v>
      </c>
      <c r="G318" s="14"/>
      <c r="H318" s="14">
        <v>0</v>
      </c>
      <c r="I318" s="73">
        <v>0</v>
      </c>
      <c r="J318" s="73">
        <v>0</v>
      </c>
      <c r="K318" s="73">
        <v>0</v>
      </c>
      <c r="L318" s="73">
        <v>0</v>
      </c>
      <c r="M318" s="73">
        <v>0</v>
      </c>
      <c r="N318" s="73">
        <v>0</v>
      </c>
      <c r="O318" s="73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00"/>
      <c r="V318" s="15">
        <f>SUM(I318:T318)</f>
        <v>0</v>
      </c>
    </row>
    <row r="319" spans="1:22" ht="12.75" hidden="1">
      <c r="A319" s="60"/>
      <c r="B319" s="43"/>
      <c r="C319" s="61"/>
      <c r="D319" s="10"/>
      <c r="E319" s="10"/>
      <c r="F319" s="10"/>
      <c r="G319" s="14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104"/>
      <c r="V319" s="15"/>
    </row>
    <row r="320" spans="1:22" ht="12.75" hidden="1">
      <c r="A320" s="66"/>
      <c r="B320" s="92" t="s">
        <v>96</v>
      </c>
      <c r="C320" s="72"/>
      <c r="D320" s="45"/>
      <c r="E320" s="45"/>
      <c r="F320" s="45"/>
      <c r="G320" s="49"/>
      <c r="H320" s="42">
        <f aca="true" t="shared" si="87" ref="H320:T320">H317</f>
        <v>0</v>
      </c>
      <c r="I320" s="42">
        <f t="shared" si="87"/>
        <v>0</v>
      </c>
      <c r="J320" s="42">
        <f t="shared" si="87"/>
        <v>0</v>
      </c>
      <c r="K320" s="42">
        <f t="shared" si="87"/>
        <v>0</v>
      </c>
      <c r="L320" s="42">
        <f t="shared" si="87"/>
        <v>0</v>
      </c>
      <c r="M320" s="42">
        <f t="shared" si="87"/>
        <v>0</v>
      </c>
      <c r="N320" s="42">
        <f t="shared" si="87"/>
        <v>0</v>
      </c>
      <c r="O320" s="42">
        <f t="shared" si="87"/>
        <v>0</v>
      </c>
      <c r="P320" s="42">
        <f t="shared" si="87"/>
        <v>0</v>
      </c>
      <c r="Q320" s="42">
        <f t="shared" si="87"/>
        <v>0</v>
      </c>
      <c r="R320" s="42">
        <f t="shared" si="87"/>
        <v>0</v>
      </c>
      <c r="S320" s="42">
        <f t="shared" si="87"/>
        <v>0</v>
      </c>
      <c r="T320" s="42">
        <f t="shared" si="87"/>
        <v>0</v>
      </c>
      <c r="U320" s="104"/>
      <c r="V320" s="54">
        <f>V317</f>
        <v>0</v>
      </c>
    </row>
    <row r="321" spans="1:22" ht="12.75">
      <c r="A321" s="56"/>
      <c r="B321" s="25"/>
      <c r="C321" s="25"/>
      <c r="D321" s="10"/>
      <c r="E321" s="10"/>
      <c r="F321" s="10"/>
      <c r="G321" s="14"/>
      <c r="H321" s="30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00"/>
      <c r="V321" s="52"/>
    </row>
    <row r="322" spans="1:22" ht="12.75">
      <c r="A322" s="56"/>
      <c r="B322" s="23"/>
      <c r="C322" s="10"/>
      <c r="D322" s="10"/>
      <c r="E322" s="10"/>
      <c r="F322" s="10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00"/>
      <c r="V322" s="52"/>
    </row>
    <row r="323" spans="1:22" ht="12.75">
      <c r="A323" s="136" t="s">
        <v>86</v>
      </c>
      <c r="B323" s="136"/>
      <c r="C323" s="136"/>
      <c r="D323" s="136"/>
      <c r="E323" s="136"/>
      <c r="F323" s="136"/>
      <c r="G323" s="136"/>
      <c r="H323" s="53">
        <f aca="true" t="shared" si="88" ref="H323:T323">H105+H113+H130+H155+H210+H222+H275+H287+H315+H313+H320</f>
        <v>79079861.33</v>
      </c>
      <c r="I323" s="53">
        <f t="shared" si="88"/>
        <v>3021635.3200000003</v>
      </c>
      <c r="J323" s="53">
        <f t="shared" si="88"/>
        <v>5432496.46</v>
      </c>
      <c r="K323" s="53">
        <f t="shared" si="88"/>
        <v>4966577.96</v>
      </c>
      <c r="L323" s="53">
        <f t="shared" si="88"/>
        <v>7690261.42</v>
      </c>
      <c r="M323" s="53">
        <f t="shared" si="88"/>
        <v>5541594.2299999995</v>
      </c>
      <c r="N323" s="53">
        <f t="shared" si="88"/>
        <v>14382934.03</v>
      </c>
      <c r="O323" s="53">
        <f t="shared" si="88"/>
        <v>6402615.949999999</v>
      </c>
      <c r="P323" s="53">
        <f t="shared" si="88"/>
        <v>5661756.32</v>
      </c>
      <c r="Q323" s="53">
        <f t="shared" si="88"/>
        <v>5953781.49</v>
      </c>
      <c r="R323" s="53">
        <f t="shared" si="88"/>
        <v>6109202.13</v>
      </c>
      <c r="S323" s="53">
        <f t="shared" si="88"/>
        <v>6356430.4</v>
      </c>
      <c r="T323" s="53">
        <f t="shared" si="88"/>
        <v>7511575.62</v>
      </c>
      <c r="U323" s="104"/>
      <c r="V323" s="108">
        <f>V105+V113+V130+V155+V210+V222+V275+V287+V315+V313+V320</f>
        <v>79030861.33</v>
      </c>
    </row>
    <row r="324" spans="1:22" ht="27.75" customHeight="1">
      <c r="A324" s="136" t="s">
        <v>89</v>
      </c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05"/>
      <c r="V324" s="52"/>
    </row>
    <row r="325" spans="1:22" ht="57" customHeight="1">
      <c r="A325" s="65"/>
      <c r="B325" s="56"/>
      <c r="C325" s="138" t="s">
        <v>91</v>
      </c>
      <c r="D325" s="138"/>
      <c r="E325" s="138"/>
      <c r="F325" s="138"/>
      <c r="G325" s="56"/>
      <c r="H325" s="57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105"/>
      <c r="V325" s="15"/>
    </row>
    <row r="326" spans="1:22" ht="12.75">
      <c r="A326" s="56"/>
      <c r="B326" s="74"/>
      <c r="C326" s="139"/>
      <c r="D326" s="139"/>
      <c r="E326" s="139"/>
      <c r="F326" s="139"/>
      <c r="G326" s="74"/>
      <c r="H326" s="53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104"/>
      <c r="V326" s="15"/>
    </row>
    <row r="327" spans="1:22" ht="83.25" customHeight="1">
      <c r="A327" s="56" t="s">
        <v>87</v>
      </c>
      <c r="B327" s="48" t="s">
        <v>190</v>
      </c>
      <c r="C327" s="137" t="s">
        <v>92</v>
      </c>
      <c r="D327" s="137"/>
      <c r="E327" s="137"/>
      <c r="F327" s="137"/>
      <c r="G327" s="74"/>
      <c r="H327" s="13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17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00"/>
      <c r="V327" s="15"/>
    </row>
    <row r="328" spans="1:22" ht="84" customHeight="1">
      <c r="A328" s="56" t="s">
        <v>87</v>
      </c>
      <c r="B328" s="48" t="s">
        <v>191</v>
      </c>
      <c r="C328" s="137" t="s">
        <v>93</v>
      </c>
      <c r="D328" s="137"/>
      <c r="E328" s="137"/>
      <c r="F328" s="137"/>
      <c r="G328" s="74"/>
      <c r="H328" s="13">
        <f>N328</f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17">
        <v>0</v>
      </c>
      <c r="S328" s="14">
        <v>0</v>
      </c>
      <c r="T328" s="14">
        <v>0</v>
      </c>
      <c r="U328" s="100"/>
      <c r="V328" s="15"/>
    </row>
    <row r="329" spans="1:22" ht="12.75">
      <c r="A329" s="56"/>
      <c r="B329" s="74"/>
      <c r="C329" s="139"/>
      <c r="D329" s="139"/>
      <c r="E329" s="139"/>
      <c r="F329" s="139"/>
      <c r="G329" s="7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101"/>
      <c r="V329" s="15"/>
    </row>
    <row r="330" spans="1:22" ht="12.75">
      <c r="A330" s="133" t="s">
        <v>90</v>
      </c>
      <c r="B330" s="133"/>
      <c r="C330" s="133"/>
      <c r="D330" s="133"/>
      <c r="E330" s="133"/>
      <c r="F330" s="133"/>
      <c r="G330" s="74"/>
      <c r="H330" s="53">
        <f aca="true" t="shared" si="89" ref="H330:T330">H327-H328</f>
        <v>0</v>
      </c>
      <c r="I330" s="53">
        <f t="shared" si="89"/>
        <v>0</v>
      </c>
      <c r="J330" s="53">
        <f t="shared" si="89"/>
        <v>0</v>
      </c>
      <c r="K330" s="53">
        <f t="shared" si="89"/>
        <v>0</v>
      </c>
      <c r="L330" s="53">
        <f t="shared" si="89"/>
        <v>0</v>
      </c>
      <c r="M330" s="53">
        <f t="shared" si="89"/>
        <v>0</v>
      </c>
      <c r="N330" s="53">
        <f t="shared" si="89"/>
        <v>0</v>
      </c>
      <c r="O330" s="53">
        <f t="shared" si="89"/>
        <v>0</v>
      </c>
      <c r="P330" s="53">
        <f t="shared" si="89"/>
        <v>0</v>
      </c>
      <c r="Q330" s="53">
        <f t="shared" si="89"/>
        <v>0</v>
      </c>
      <c r="R330" s="53">
        <f t="shared" si="89"/>
        <v>0</v>
      </c>
      <c r="S330" s="53">
        <f t="shared" si="89"/>
        <v>0</v>
      </c>
      <c r="T330" s="53">
        <f t="shared" si="89"/>
        <v>0</v>
      </c>
      <c r="U330" s="104"/>
      <c r="V330" s="15"/>
    </row>
    <row r="331" spans="1:22" ht="12" customHeight="1">
      <c r="A331" s="75"/>
      <c r="B331" s="76"/>
      <c r="C331" s="76"/>
      <c r="D331" s="76"/>
      <c r="E331" s="76"/>
      <c r="F331" s="76"/>
      <c r="G331" s="76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15"/>
    </row>
    <row r="332" spans="1:22" ht="12" customHeight="1">
      <c r="A332" s="4"/>
      <c r="B332" s="6"/>
      <c r="C332" s="6"/>
      <c r="D332" s="6"/>
      <c r="E332" s="6"/>
      <c r="F332" s="6"/>
      <c r="G332" s="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2"/>
    </row>
    <row r="333" spans="1:22" ht="12" customHeight="1">
      <c r="A333" s="4"/>
      <c r="B333" s="6"/>
      <c r="C333" s="6"/>
      <c r="D333" s="6"/>
      <c r="E333" s="6"/>
      <c r="F333" s="6"/>
      <c r="G333" s="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"/>
    </row>
    <row r="334" spans="1:22" ht="12" customHeight="1">
      <c r="A334" s="134" t="s">
        <v>81</v>
      </c>
      <c r="B334" s="134"/>
      <c r="C334" s="134"/>
      <c r="D334" s="134"/>
      <c r="E334" s="134"/>
      <c r="F334" s="134"/>
      <c r="G334" s="134"/>
      <c r="H334" s="9"/>
      <c r="I334" s="9"/>
      <c r="J334" s="9"/>
      <c r="K334" s="9" t="s">
        <v>82</v>
      </c>
      <c r="L334" s="19"/>
      <c r="M334" s="5"/>
      <c r="N334" s="5"/>
      <c r="O334" s="5"/>
      <c r="P334" s="5"/>
      <c r="Q334" s="5"/>
      <c r="R334" s="5"/>
      <c r="S334" s="5"/>
      <c r="T334" s="5"/>
      <c r="U334" s="5"/>
      <c r="V334" s="2"/>
    </row>
    <row r="335" spans="1:22" ht="12" customHeight="1">
      <c r="A335" s="20"/>
      <c r="B335" s="21"/>
      <c r="C335" s="21"/>
      <c r="D335" s="21"/>
      <c r="E335" s="21"/>
      <c r="F335" s="21"/>
      <c r="G335" s="21"/>
      <c r="H335" s="19"/>
      <c r="I335" s="19"/>
      <c r="J335" s="19"/>
      <c r="K335" s="19"/>
      <c r="L335" s="19"/>
      <c r="M335" s="5"/>
      <c r="N335" s="5"/>
      <c r="O335" s="5"/>
      <c r="P335" s="5"/>
      <c r="Q335" s="5"/>
      <c r="R335" s="5"/>
      <c r="S335" s="5"/>
      <c r="T335" s="5"/>
      <c r="U335" s="5"/>
      <c r="V335" s="2"/>
    </row>
    <row r="336" spans="1:22" ht="12" customHeight="1">
      <c r="A336" s="20"/>
      <c r="B336" s="21"/>
      <c r="C336" s="21"/>
      <c r="D336" s="21"/>
      <c r="E336" s="21"/>
      <c r="F336" s="21"/>
      <c r="G336" s="21"/>
      <c r="H336" s="19"/>
      <c r="I336" s="19"/>
      <c r="J336" s="19"/>
      <c r="K336" s="19"/>
      <c r="L336" s="19"/>
      <c r="M336" s="5"/>
      <c r="N336" s="5"/>
      <c r="O336" s="5"/>
      <c r="P336" s="5"/>
      <c r="Q336" s="5"/>
      <c r="R336" s="5"/>
      <c r="S336" s="5"/>
      <c r="T336" s="5"/>
      <c r="U336" s="5"/>
      <c r="V336" s="2"/>
    </row>
    <row r="337" spans="1:12" ht="12.75">
      <c r="A337" s="17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>
      <c r="A338" s="17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2.75">
      <c r="A339" s="134" t="s">
        <v>230</v>
      </c>
      <c r="B339" s="134"/>
      <c r="C339" s="134"/>
      <c r="D339" s="134"/>
      <c r="E339" s="9"/>
      <c r="F339" s="9"/>
      <c r="G339" s="9"/>
      <c r="H339" s="9"/>
      <c r="I339" s="9"/>
      <c r="J339" s="9"/>
      <c r="K339" s="9"/>
      <c r="L339" s="9"/>
    </row>
    <row r="340" spans="1:12" ht="12.75">
      <c r="A340" s="134" t="s">
        <v>84</v>
      </c>
      <c r="B340" s="134"/>
      <c r="C340" s="134"/>
      <c r="D340" s="134"/>
      <c r="E340" s="134"/>
      <c r="F340" s="134"/>
      <c r="G340" s="134"/>
      <c r="H340" s="9"/>
      <c r="I340" s="9"/>
      <c r="J340" s="9"/>
      <c r="K340" s="9" t="s">
        <v>231</v>
      </c>
      <c r="L340" s="9"/>
    </row>
    <row r="341" spans="1:12" ht="12.75">
      <c r="A341" s="17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2.75">
      <c r="A342" s="17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2.75">
      <c r="A343" s="17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17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</sheetData>
  <sheetProtection/>
  <mergeCells count="35">
    <mergeCell ref="B6:B8"/>
    <mergeCell ref="S7:S8"/>
    <mergeCell ref="T7:T8"/>
    <mergeCell ref="R7:R8"/>
    <mergeCell ref="N7:N8"/>
    <mergeCell ref="K7:K8"/>
    <mergeCell ref="I7:I8"/>
    <mergeCell ref="M7:M8"/>
    <mergeCell ref="A323:G323"/>
    <mergeCell ref="G253:G254"/>
    <mergeCell ref="A2:T2"/>
    <mergeCell ref="A3:T3"/>
    <mergeCell ref="A4:T4"/>
    <mergeCell ref="A5:T5"/>
    <mergeCell ref="A6:A8"/>
    <mergeCell ref="A324:T324"/>
    <mergeCell ref="C325:F325"/>
    <mergeCell ref="C326:F326"/>
    <mergeCell ref="H7:H8"/>
    <mergeCell ref="C6:G7"/>
    <mergeCell ref="H6:T6"/>
    <mergeCell ref="P7:P8"/>
    <mergeCell ref="Q7:Q8"/>
    <mergeCell ref="O7:O8"/>
    <mergeCell ref="J7:J8"/>
    <mergeCell ref="A340:G340"/>
    <mergeCell ref="C327:F327"/>
    <mergeCell ref="C328:F328"/>
    <mergeCell ref="C329:F329"/>
    <mergeCell ref="A330:F330"/>
    <mergeCell ref="L7:L8"/>
    <mergeCell ref="G251:G252"/>
    <mergeCell ref="A334:G334"/>
    <mergeCell ref="A339:D339"/>
    <mergeCell ref="G255:G256"/>
  </mergeCells>
  <printOptions/>
  <pageMargins left="0.48" right="0.16" top="0.23" bottom="0.22" header="0.2" footer="0.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4"/>
  <sheetViews>
    <sheetView zoomScalePageLayoutView="0" workbookViewId="0" topLeftCell="A1">
      <pane ySplit="8" topLeftCell="A184" activePane="bottomLeft" state="frozen"/>
      <selection pane="topLeft" activeCell="A1" sqref="A1"/>
      <selection pane="bottomLeft" activeCell="V1" sqref="V1:V16384"/>
    </sheetView>
  </sheetViews>
  <sheetFormatPr defaultColWidth="9.140625" defaultRowHeight="12.75"/>
  <cols>
    <col min="1" max="1" width="12.28125" style="1" customWidth="1"/>
    <col min="2" max="2" width="30.28125" style="0" customWidth="1"/>
    <col min="4" max="4" width="13.00390625" style="0" customWidth="1"/>
    <col min="5" max="5" width="7.140625" style="0" customWidth="1"/>
    <col min="6" max="6" width="4.7109375" style="0" hidden="1" customWidth="1"/>
    <col min="7" max="7" width="8.28125" style="0" customWidth="1"/>
    <col min="8" max="8" width="14.00390625" style="0" customWidth="1"/>
    <col min="9" max="9" width="12.57421875" style="0" customWidth="1"/>
    <col min="10" max="10" width="12.8515625" style="0" customWidth="1"/>
    <col min="11" max="11" width="11.7109375" style="0" customWidth="1"/>
    <col min="12" max="13" width="12.421875" style="0" customWidth="1"/>
    <col min="14" max="14" width="12.7109375" style="0" customWidth="1"/>
    <col min="15" max="15" width="12.421875" style="0" customWidth="1"/>
    <col min="16" max="16" width="12.7109375" style="0" customWidth="1"/>
    <col min="17" max="17" width="13.140625" style="0" customWidth="1"/>
    <col min="18" max="18" width="13.28125" style="0" customWidth="1"/>
    <col min="19" max="19" width="12.28125" style="0" customWidth="1"/>
    <col min="20" max="20" width="15.28125" style="0" customWidth="1"/>
    <col min="21" max="21" width="3.140625" style="0" customWidth="1"/>
    <col min="22" max="22" width="12.7109375" style="0" hidden="1" customWidth="1"/>
  </cols>
  <sheetData>
    <row r="1" ht="12.75">
      <c r="V1" t="s">
        <v>202</v>
      </c>
    </row>
    <row r="2" spans="1:21" ht="15.75">
      <c r="A2" s="126" t="s">
        <v>100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82"/>
    </row>
    <row r="3" spans="1:21" ht="15.75">
      <c r="A3" s="126" t="s">
        <v>232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82"/>
    </row>
    <row r="4" spans="1:21" ht="15.75">
      <c r="A4" s="127" t="s">
        <v>85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83"/>
    </row>
    <row r="5" spans="1:21" ht="15.75">
      <c r="A5" s="127" t="s">
        <v>202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83"/>
    </row>
    <row r="6" spans="1:22" ht="26.25" customHeight="1">
      <c r="A6" s="135" t="s">
        <v>97</v>
      </c>
      <c r="B6" s="133" t="s">
        <v>0</v>
      </c>
      <c r="C6" s="130" t="s">
        <v>98</v>
      </c>
      <c r="D6" s="130"/>
      <c r="E6" s="130"/>
      <c r="F6" s="130"/>
      <c r="G6" s="130"/>
      <c r="H6" s="129" t="s">
        <v>99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99"/>
      <c r="V6" s="22"/>
    </row>
    <row r="7" spans="1:22" ht="31.5" customHeight="1">
      <c r="A7" s="135"/>
      <c r="B7" s="133"/>
      <c r="C7" s="130"/>
      <c r="D7" s="130"/>
      <c r="E7" s="130"/>
      <c r="F7" s="130"/>
      <c r="G7" s="130"/>
      <c r="H7" s="128" t="s">
        <v>88</v>
      </c>
      <c r="I7" s="131" t="s">
        <v>25</v>
      </c>
      <c r="J7" s="131" t="s">
        <v>26</v>
      </c>
      <c r="K7" s="131" t="s">
        <v>27</v>
      </c>
      <c r="L7" s="131" t="s">
        <v>28</v>
      </c>
      <c r="M7" s="131" t="s">
        <v>29</v>
      </c>
      <c r="N7" s="131" t="s">
        <v>30</v>
      </c>
      <c r="O7" s="131" t="s">
        <v>31</v>
      </c>
      <c r="P7" s="131" t="s">
        <v>32</v>
      </c>
      <c r="Q7" s="131" t="s">
        <v>33</v>
      </c>
      <c r="R7" s="131" t="s">
        <v>34</v>
      </c>
      <c r="S7" s="131" t="s">
        <v>35</v>
      </c>
      <c r="T7" s="131" t="s">
        <v>36</v>
      </c>
      <c r="U7" s="96"/>
      <c r="V7" s="22"/>
    </row>
    <row r="8" spans="1:22" ht="49.5" customHeight="1">
      <c r="A8" s="135"/>
      <c r="B8" s="133"/>
      <c r="C8" s="81" t="s">
        <v>101</v>
      </c>
      <c r="D8" s="81" t="s">
        <v>1</v>
      </c>
      <c r="E8" s="81" t="s">
        <v>2</v>
      </c>
      <c r="F8" s="81" t="s">
        <v>3</v>
      </c>
      <c r="G8" s="81" t="s">
        <v>4</v>
      </c>
      <c r="H8" s="128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96"/>
      <c r="V8" s="22"/>
    </row>
    <row r="9" spans="1:22" ht="40.5" customHeight="1">
      <c r="A9" s="56" t="s">
        <v>87</v>
      </c>
      <c r="B9" s="48" t="s">
        <v>155</v>
      </c>
      <c r="C9" s="23" t="s">
        <v>8</v>
      </c>
      <c r="D9" s="23">
        <v>8010000190</v>
      </c>
      <c r="E9" s="23">
        <v>121</v>
      </c>
      <c r="F9" s="23">
        <v>211</v>
      </c>
      <c r="G9" s="23"/>
      <c r="H9" s="24">
        <v>1046467</v>
      </c>
      <c r="I9" s="14">
        <f>37495.26-13474.16</f>
        <v>24021.100000000002</v>
      </c>
      <c r="J9" s="14">
        <f>84387.69+23998.41</f>
        <v>108386.1</v>
      </c>
      <c r="K9" s="14">
        <v>82677.75</v>
      </c>
      <c r="L9" s="14">
        <v>82677.75</v>
      </c>
      <c r="M9" s="14">
        <v>82677.75</v>
      </c>
      <c r="N9" s="14">
        <v>82677.75</v>
      </c>
      <c r="O9" s="14">
        <v>82677.75</v>
      </c>
      <c r="P9" s="14">
        <v>82677.75</v>
      </c>
      <c r="Q9" s="14">
        <v>82360.75</v>
      </c>
      <c r="R9" s="14">
        <v>84435.73</v>
      </c>
      <c r="S9" s="14">
        <f>85845.2+13474.16</f>
        <v>99319.36</v>
      </c>
      <c r="T9" s="14">
        <f>175884.87-9-23998.41</f>
        <v>151877.46</v>
      </c>
      <c r="U9" s="100"/>
      <c r="V9" s="15">
        <f>SUM(I9:T9)</f>
        <v>1046466.9999999999</v>
      </c>
    </row>
    <row r="10" spans="1:22" ht="89.25">
      <c r="A10" s="56" t="s">
        <v>87</v>
      </c>
      <c r="B10" s="48" t="s">
        <v>156</v>
      </c>
      <c r="C10" s="23" t="s">
        <v>8</v>
      </c>
      <c r="D10" s="23">
        <v>8010000190</v>
      </c>
      <c r="E10" s="23">
        <v>129</v>
      </c>
      <c r="F10" s="23">
        <v>213</v>
      </c>
      <c r="G10" s="23"/>
      <c r="H10" s="24">
        <v>316033</v>
      </c>
      <c r="I10" s="14">
        <v>0</v>
      </c>
      <c r="J10" s="14">
        <f>25059.08-145.08</f>
        <v>24914</v>
      </c>
      <c r="K10" s="14">
        <v>25059.07</v>
      </c>
      <c r="L10" s="14">
        <v>25059.07</v>
      </c>
      <c r="M10" s="14">
        <v>25059.07</v>
      </c>
      <c r="N10" s="14">
        <v>25059.07</v>
      </c>
      <c r="O10" s="14">
        <v>25059.07</v>
      </c>
      <c r="P10" s="14">
        <v>25059.07</v>
      </c>
      <c r="Q10" s="14">
        <v>25059.07</v>
      </c>
      <c r="R10" s="14">
        <f>25059.07+145.08</f>
        <v>25204.15</v>
      </c>
      <c r="S10" s="14">
        <v>26015.63</v>
      </c>
      <c r="T10" s="14">
        <v>64485.73</v>
      </c>
      <c r="U10" s="100"/>
      <c r="V10" s="15">
        <f>SUM(I10:T10)</f>
        <v>316033</v>
      </c>
    </row>
    <row r="11" spans="1:22" ht="12.75">
      <c r="A11" s="56"/>
      <c r="B11" s="23"/>
      <c r="C11" s="23"/>
      <c r="D11" s="23"/>
      <c r="E11" s="23"/>
      <c r="F11" s="23"/>
      <c r="G11" s="23"/>
      <c r="H11" s="2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07"/>
      <c r="V11" s="15"/>
    </row>
    <row r="12" spans="1:22" ht="12.75">
      <c r="A12" s="56"/>
      <c r="B12" s="25" t="s">
        <v>45</v>
      </c>
      <c r="C12" s="25" t="s">
        <v>8</v>
      </c>
      <c r="D12" s="26"/>
      <c r="E12" s="26"/>
      <c r="F12" s="26"/>
      <c r="G12" s="25"/>
      <c r="H12" s="30">
        <f aca="true" t="shared" si="0" ref="H12:T12">H9+H10</f>
        <v>1362500</v>
      </c>
      <c r="I12" s="30">
        <f t="shared" si="0"/>
        <v>24021.100000000002</v>
      </c>
      <c r="J12" s="30">
        <f t="shared" si="0"/>
        <v>133300.1</v>
      </c>
      <c r="K12" s="30">
        <f t="shared" si="0"/>
        <v>107736.82</v>
      </c>
      <c r="L12" s="30">
        <f t="shared" si="0"/>
        <v>107736.82</v>
      </c>
      <c r="M12" s="30">
        <f t="shared" si="0"/>
        <v>107736.82</v>
      </c>
      <c r="N12" s="30">
        <f t="shared" si="0"/>
        <v>107736.82</v>
      </c>
      <c r="O12" s="30">
        <f t="shared" si="0"/>
        <v>107736.82</v>
      </c>
      <c r="P12" s="30">
        <f t="shared" si="0"/>
        <v>107736.82</v>
      </c>
      <c r="Q12" s="30">
        <f t="shared" si="0"/>
        <v>107419.82</v>
      </c>
      <c r="R12" s="30">
        <f t="shared" si="0"/>
        <v>109639.88</v>
      </c>
      <c r="S12" s="30">
        <f t="shared" si="0"/>
        <v>125334.99</v>
      </c>
      <c r="T12" s="30">
        <f t="shared" si="0"/>
        <v>216363.19</v>
      </c>
      <c r="U12" s="97"/>
      <c r="V12" s="97">
        <f>I12+J12+K12+L12+M12+N12+O12+P12+Q12+R12+S12+T12</f>
        <v>1362500.0000000002</v>
      </c>
    </row>
    <row r="13" spans="1:22" ht="12.75">
      <c r="A13" s="56"/>
      <c r="B13" s="25"/>
      <c r="C13" s="11"/>
      <c r="D13" s="26"/>
      <c r="E13" s="26"/>
      <c r="F13" s="26"/>
      <c r="G13" s="25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97"/>
      <c r="V13" s="97"/>
    </row>
    <row r="14" spans="1:22" ht="93.75" customHeight="1">
      <c r="A14" s="62" t="s">
        <v>87</v>
      </c>
      <c r="B14" s="27" t="s">
        <v>104</v>
      </c>
      <c r="C14" s="37" t="s">
        <v>9</v>
      </c>
      <c r="D14" s="37">
        <v>5100000000</v>
      </c>
      <c r="E14" s="36"/>
      <c r="F14" s="36"/>
      <c r="G14" s="37"/>
      <c r="H14" s="13">
        <f aca="true" t="shared" si="1" ref="H14:T14">H15+H16+H17+H18+H19+H20+H21+H22+H24+H25+H23+H26+H27+H29+H28</f>
        <v>8225265</v>
      </c>
      <c r="I14" s="13">
        <f t="shared" si="1"/>
        <v>231843.25</v>
      </c>
      <c r="J14" s="13">
        <f t="shared" si="1"/>
        <v>667757.4</v>
      </c>
      <c r="K14" s="13">
        <f t="shared" si="1"/>
        <v>646976.71</v>
      </c>
      <c r="L14" s="13">
        <f t="shared" si="1"/>
        <v>616743.39</v>
      </c>
      <c r="M14" s="13">
        <f t="shared" si="1"/>
        <v>567034.44</v>
      </c>
      <c r="N14" s="13">
        <f t="shared" si="1"/>
        <v>600101.21</v>
      </c>
      <c r="O14" s="13">
        <f t="shared" si="1"/>
        <v>724571.13</v>
      </c>
      <c r="P14" s="13">
        <f t="shared" si="1"/>
        <v>567598.12</v>
      </c>
      <c r="Q14" s="13">
        <f t="shared" si="1"/>
        <v>774296.5700000001</v>
      </c>
      <c r="R14" s="13">
        <f t="shared" si="1"/>
        <v>769610.69</v>
      </c>
      <c r="S14" s="13">
        <f t="shared" si="1"/>
        <v>900588.5599999999</v>
      </c>
      <c r="T14" s="13">
        <f t="shared" si="1"/>
        <v>1158143.53</v>
      </c>
      <c r="U14" s="101"/>
      <c r="V14" s="88">
        <f>V15+V16+V23+V26+V27+V29+V28</f>
        <v>8225265</v>
      </c>
    </row>
    <row r="15" spans="1:22" ht="38.25">
      <c r="A15" s="56" t="s">
        <v>87</v>
      </c>
      <c r="B15" s="48" t="s">
        <v>155</v>
      </c>
      <c r="C15" s="23" t="s">
        <v>9</v>
      </c>
      <c r="D15" s="78" t="s">
        <v>141</v>
      </c>
      <c r="E15" s="23">
        <v>121</v>
      </c>
      <c r="F15" s="23">
        <v>211</v>
      </c>
      <c r="G15" s="23"/>
      <c r="H15" s="24">
        <f>5057530+370015</f>
        <v>5427545</v>
      </c>
      <c r="I15" s="14">
        <f>215261.98-44210.67</f>
        <v>171051.31</v>
      </c>
      <c r="J15" s="14">
        <f>367447.38+108736.84</f>
        <v>476184.22</v>
      </c>
      <c r="K15" s="14">
        <v>484620.17</v>
      </c>
      <c r="L15" s="14">
        <v>378618.34</v>
      </c>
      <c r="M15" s="14">
        <v>394596.91</v>
      </c>
      <c r="N15" s="14">
        <v>394596.91</v>
      </c>
      <c r="O15" s="14">
        <v>412026</v>
      </c>
      <c r="P15" s="14">
        <f>366080.88+44210.67</f>
        <v>410291.55</v>
      </c>
      <c r="Q15" s="14">
        <f>399894.85+170015</f>
        <v>569909.85</v>
      </c>
      <c r="R15" s="14">
        <f>377800+22721.78+11550.82+25716.95+98437.44</f>
        <v>536226.99</v>
      </c>
      <c r="S15" s="14">
        <f>391735.97+200000</f>
        <v>591735.97</v>
      </c>
      <c r="T15" s="14">
        <f>716423.62-108736.84</f>
        <v>607686.78</v>
      </c>
      <c r="U15" s="100"/>
      <c r="V15" s="15">
        <f aca="true" t="shared" si="2" ref="V15:V30">SUM(I15:T15)</f>
        <v>5427545</v>
      </c>
    </row>
    <row r="16" spans="1:22" ht="89.25">
      <c r="A16" s="56" t="s">
        <v>87</v>
      </c>
      <c r="B16" s="48" t="s">
        <v>156</v>
      </c>
      <c r="C16" s="23" t="s">
        <v>9</v>
      </c>
      <c r="D16" s="78" t="s">
        <v>141</v>
      </c>
      <c r="E16" s="23">
        <v>129</v>
      </c>
      <c r="F16" s="23">
        <v>213</v>
      </c>
      <c r="G16" s="23"/>
      <c r="H16" s="24">
        <f>1527370+111750</f>
        <v>1639120</v>
      </c>
      <c r="I16" s="14">
        <v>0</v>
      </c>
      <c r="J16" s="14">
        <f>117942.63+9122.42</f>
        <v>127065.05</v>
      </c>
      <c r="K16" s="14">
        <v>100499.54</v>
      </c>
      <c r="L16" s="14">
        <v>138908.05</v>
      </c>
      <c r="M16" s="14">
        <v>126393.53</v>
      </c>
      <c r="N16" s="14">
        <v>127635.3</v>
      </c>
      <c r="O16" s="14">
        <f>109894.13+111750</f>
        <v>221644.13</v>
      </c>
      <c r="P16" s="14">
        <v>116145.57</v>
      </c>
      <c r="Q16" s="14">
        <v>115389.66</v>
      </c>
      <c r="R16" s="14">
        <v>113948.7</v>
      </c>
      <c r="S16" s="14">
        <v>187572.49</v>
      </c>
      <c r="T16" s="14">
        <f>273040.4-9122.42</f>
        <v>263917.98000000004</v>
      </c>
      <c r="U16" s="100"/>
      <c r="V16" s="15">
        <f t="shared" si="2"/>
        <v>1639120</v>
      </c>
    </row>
    <row r="17" spans="1:22" ht="12.75" hidden="1">
      <c r="A17" s="56" t="s">
        <v>87</v>
      </c>
      <c r="B17" s="23" t="s">
        <v>10</v>
      </c>
      <c r="C17" s="28" t="s">
        <v>9</v>
      </c>
      <c r="D17" s="28">
        <v>5110100190</v>
      </c>
      <c r="E17" s="28">
        <v>244</v>
      </c>
      <c r="F17" s="28">
        <v>221</v>
      </c>
      <c r="G17" s="23"/>
      <c r="H17" s="2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00"/>
      <c r="V17" s="15">
        <f t="shared" si="2"/>
        <v>0</v>
      </c>
    </row>
    <row r="18" spans="1:22" ht="12.75" hidden="1">
      <c r="A18" s="56" t="s">
        <v>87</v>
      </c>
      <c r="B18" s="23" t="s">
        <v>11</v>
      </c>
      <c r="C18" s="28" t="s">
        <v>9</v>
      </c>
      <c r="D18" s="28">
        <v>5110100190</v>
      </c>
      <c r="E18" s="28">
        <v>244</v>
      </c>
      <c r="F18" s="28">
        <v>223</v>
      </c>
      <c r="G18" s="23" t="s">
        <v>38</v>
      </c>
      <c r="H18" s="2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00"/>
      <c r="V18" s="15">
        <f t="shared" si="2"/>
        <v>0</v>
      </c>
    </row>
    <row r="19" spans="1:22" ht="12.75" hidden="1">
      <c r="A19" s="56" t="s">
        <v>87</v>
      </c>
      <c r="B19" s="23" t="s">
        <v>11</v>
      </c>
      <c r="C19" s="28" t="s">
        <v>9</v>
      </c>
      <c r="D19" s="28">
        <v>5110100190</v>
      </c>
      <c r="E19" s="28">
        <v>244</v>
      </c>
      <c r="F19" s="28">
        <v>223</v>
      </c>
      <c r="G19" s="59" t="s">
        <v>39</v>
      </c>
      <c r="H19" s="2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00"/>
      <c r="V19" s="15">
        <f t="shared" si="2"/>
        <v>0</v>
      </c>
    </row>
    <row r="20" spans="1:22" ht="12.75" hidden="1">
      <c r="A20" s="56" t="s">
        <v>87</v>
      </c>
      <c r="B20" s="23" t="s">
        <v>11</v>
      </c>
      <c r="C20" s="28" t="s">
        <v>9</v>
      </c>
      <c r="D20" s="28">
        <v>5110100190</v>
      </c>
      <c r="E20" s="28">
        <v>244</v>
      </c>
      <c r="F20" s="28">
        <v>223</v>
      </c>
      <c r="G20" s="23" t="s">
        <v>40</v>
      </c>
      <c r="H20" s="2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00"/>
      <c r="V20" s="15">
        <f t="shared" si="2"/>
        <v>0</v>
      </c>
    </row>
    <row r="21" spans="1:22" ht="12.75" hidden="1">
      <c r="A21" s="56" t="s">
        <v>87</v>
      </c>
      <c r="B21" s="23" t="s">
        <v>12</v>
      </c>
      <c r="C21" s="28" t="s">
        <v>9</v>
      </c>
      <c r="D21" s="28">
        <v>5110100190</v>
      </c>
      <c r="E21" s="28">
        <v>244</v>
      </c>
      <c r="F21" s="28">
        <v>225</v>
      </c>
      <c r="G21" s="23"/>
      <c r="H21" s="2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00"/>
      <c r="V21" s="15">
        <f t="shared" si="2"/>
        <v>0</v>
      </c>
    </row>
    <row r="22" spans="1:22" ht="12.75" hidden="1">
      <c r="A22" s="56" t="s">
        <v>87</v>
      </c>
      <c r="B22" s="23" t="s">
        <v>14</v>
      </c>
      <c r="C22" s="28" t="s">
        <v>9</v>
      </c>
      <c r="D22" s="28">
        <v>5110100190</v>
      </c>
      <c r="E22" s="28">
        <v>851</v>
      </c>
      <c r="F22" s="28">
        <v>290</v>
      </c>
      <c r="G22" s="23" t="s">
        <v>50</v>
      </c>
      <c r="H22" s="2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00"/>
      <c r="V22" s="15">
        <f t="shared" si="2"/>
        <v>0</v>
      </c>
    </row>
    <row r="23" spans="1:22" ht="25.5">
      <c r="A23" s="56" t="s">
        <v>87</v>
      </c>
      <c r="B23" s="48" t="s">
        <v>157</v>
      </c>
      <c r="C23" s="23" t="s">
        <v>9</v>
      </c>
      <c r="D23" s="78" t="s">
        <v>141</v>
      </c>
      <c r="E23" s="23">
        <v>244</v>
      </c>
      <c r="F23" s="23">
        <v>226</v>
      </c>
      <c r="G23" s="23"/>
      <c r="H23" s="24">
        <f>793800+72800-44200</f>
        <v>822400</v>
      </c>
      <c r="I23" s="14">
        <v>29305.94</v>
      </c>
      <c r="J23" s="14">
        <v>0</v>
      </c>
      <c r="K23" s="14">
        <v>34437</v>
      </c>
      <c r="L23" s="14">
        <v>75437</v>
      </c>
      <c r="M23" s="14">
        <v>34437</v>
      </c>
      <c r="N23" s="14">
        <v>54089</v>
      </c>
      <c r="O23" s="14">
        <v>67121</v>
      </c>
      <c r="P23" s="14">
        <v>34437</v>
      </c>
      <c r="Q23" s="14">
        <f>34437+43494.06</f>
        <v>77931.06</v>
      </c>
      <c r="R23" s="14">
        <v>78599</v>
      </c>
      <c r="S23" s="14">
        <f>67280+41892</f>
        <v>109172</v>
      </c>
      <c r="T23" s="14">
        <f>271634-44200</f>
        <v>227434</v>
      </c>
      <c r="U23" s="100"/>
      <c r="V23" s="15">
        <f t="shared" si="2"/>
        <v>822400</v>
      </c>
    </row>
    <row r="24" spans="1:22" ht="12.75" hidden="1">
      <c r="A24" s="56" t="s">
        <v>87</v>
      </c>
      <c r="B24" s="23" t="s">
        <v>15</v>
      </c>
      <c r="C24" s="28" t="s">
        <v>9</v>
      </c>
      <c r="D24" s="78" t="s">
        <v>141</v>
      </c>
      <c r="E24" s="28">
        <v>244</v>
      </c>
      <c r="F24" s="28">
        <v>340</v>
      </c>
      <c r="G24" s="23"/>
      <c r="H24" s="2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00"/>
      <c r="V24" s="15">
        <f t="shared" si="2"/>
        <v>0</v>
      </c>
    </row>
    <row r="25" spans="1:22" ht="12.75" hidden="1">
      <c r="A25" s="56" t="s">
        <v>87</v>
      </c>
      <c r="B25" s="23" t="s">
        <v>15</v>
      </c>
      <c r="C25" s="28" t="s">
        <v>9</v>
      </c>
      <c r="D25" s="28">
        <v>5110100190</v>
      </c>
      <c r="E25" s="28">
        <v>244</v>
      </c>
      <c r="F25" s="28">
        <v>340</v>
      </c>
      <c r="G25" s="23" t="s">
        <v>41</v>
      </c>
      <c r="H25" s="2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00"/>
      <c r="V25" s="15">
        <f t="shared" si="2"/>
        <v>0</v>
      </c>
    </row>
    <row r="26" spans="1:22" ht="43.5" customHeight="1">
      <c r="A26" s="56" t="s">
        <v>87</v>
      </c>
      <c r="B26" s="48" t="s">
        <v>158</v>
      </c>
      <c r="C26" s="23" t="s">
        <v>9</v>
      </c>
      <c r="D26" s="78" t="s">
        <v>141</v>
      </c>
      <c r="E26" s="23">
        <v>244</v>
      </c>
      <c r="F26" s="23">
        <v>340</v>
      </c>
      <c r="G26" s="48" t="s">
        <v>79</v>
      </c>
      <c r="H26" s="24">
        <f>241500+5400</f>
        <v>246900</v>
      </c>
      <c r="I26" s="14">
        <f>15018.61+0.39</f>
        <v>15019</v>
      </c>
      <c r="J26" s="14">
        <f>23780-3441.1</f>
        <v>20338.9</v>
      </c>
      <c r="K26" s="14">
        <f>23780+3640</f>
        <v>27420</v>
      </c>
      <c r="L26" s="14">
        <v>23780</v>
      </c>
      <c r="M26" s="14">
        <f>23780-12173</f>
        <v>11607</v>
      </c>
      <c r="N26" s="14">
        <v>23780</v>
      </c>
      <c r="O26" s="14">
        <v>23780</v>
      </c>
      <c r="P26" s="14">
        <f>23780-17056.8+0.8</f>
        <v>6724.000000000001</v>
      </c>
      <c r="Q26" s="14">
        <f>23780-12713.95-0.05</f>
        <v>11066</v>
      </c>
      <c r="R26" s="14">
        <f>23780+17056.8-0.8</f>
        <v>40836</v>
      </c>
      <c r="S26" s="14">
        <f>23780+12173+12713.95-40000+0.05+3441.1</f>
        <v>12108.099999999997</v>
      </c>
      <c r="T26" s="14">
        <f>30441.39-0.39</f>
        <v>30441</v>
      </c>
      <c r="U26" s="100"/>
      <c r="V26" s="15">
        <f t="shared" si="2"/>
        <v>246900</v>
      </c>
    </row>
    <row r="27" spans="1:22" ht="30" customHeight="1">
      <c r="A27" s="56" t="s">
        <v>87</v>
      </c>
      <c r="B27" s="48" t="s">
        <v>159</v>
      </c>
      <c r="C27" s="23" t="s">
        <v>9</v>
      </c>
      <c r="D27" s="78" t="s">
        <v>141</v>
      </c>
      <c r="E27" s="23">
        <v>851</v>
      </c>
      <c r="F27" s="23">
        <v>290</v>
      </c>
      <c r="G27" s="48" t="s">
        <v>50</v>
      </c>
      <c r="H27" s="24">
        <v>1000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1000</v>
      </c>
      <c r="U27" s="100"/>
      <c r="V27" s="15">
        <f t="shared" si="2"/>
        <v>1000</v>
      </c>
    </row>
    <row r="28" spans="1:22" ht="18" customHeight="1">
      <c r="A28" s="56" t="s">
        <v>87</v>
      </c>
      <c r="B28" s="48" t="s">
        <v>197</v>
      </c>
      <c r="C28" s="23" t="s">
        <v>9</v>
      </c>
      <c r="D28" s="78" t="s">
        <v>141</v>
      </c>
      <c r="E28" s="23">
        <v>852</v>
      </c>
      <c r="F28" s="23">
        <v>290</v>
      </c>
      <c r="G28" s="48" t="s">
        <v>50</v>
      </c>
      <c r="H28" s="24">
        <f>24400+44200</f>
        <v>68600</v>
      </c>
      <c r="I28" s="14">
        <v>711</v>
      </c>
      <c r="J28" s="14">
        <f>24400-711+20471</f>
        <v>44160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23729</v>
      </c>
      <c r="U28" s="100"/>
      <c r="V28" s="15">
        <f t="shared" si="2"/>
        <v>68600</v>
      </c>
    </row>
    <row r="29" spans="1:22" ht="23.25" customHeight="1">
      <c r="A29" s="56" t="s">
        <v>87</v>
      </c>
      <c r="B29" s="48" t="s">
        <v>160</v>
      </c>
      <c r="C29" s="23" t="s">
        <v>9</v>
      </c>
      <c r="D29" s="78" t="s">
        <v>141</v>
      </c>
      <c r="E29" s="23">
        <v>853</v>
      </c>
      <c r="F29" s="23">
        <v>290</v>
      </c>
      <c r="G29" s="48" t="s">
        <v>50</v>
      </c>
      <c r="H29" s="24">
        <v>19700</v>
      </c>
      <c r="I29" s="14">
        <v>15756</v>
      </c>
      <c r="J29" s="14">
        <v>9.23</v>
      </c>
      <c r="K29" s="14">
        <v>0</v>
      </c>
      <c r="L29" s="29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f>4700-756-9.23</f>
        <v>3934.77</v>
      </c>
      <c r="U29" s="100"/>
      <c r="V29" s="15">
        <f t="shared" si="2"/>
        <v>19700</v>
      </c>
    </row>
    <row r="30" spans="1:22" ht="54.75" customHeight="1">
      <c r="A30" s="62" t="s">
        <v>87</v>
      </c>
      <c r="B30" s="90" t="s">
        <v>161</v>
      </c>
      <c r="C30" s="37" t="s">
        <v>9</v>
      </c>
      <c r="D30" s="84" t="s">
        <v>150</v>
      </c>
      <c r="E30" s="37">
        <v>244</v>
      </c>
      <c r="F30" s="37">
        <v>340</v>
      </c>
      <c r="G30" s="37"/>
      <c r="H30" s="13">
        <v>7600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7600</v>
      </c>
      <c r="R30" s="13">
        <v>0</v>
      </c>
      <c r="S30" s="13">
        <v>0</v>
      </c>
      <c r="T30" s="13">
        <v>0</v>
      </c>
      <c r="U30" s="101"/>
      <c r="V30" s="87">
        <f t="shared" si="2"/>
        <v>7600</v>
      </c>
    </row>
    <row r="31" spans="1:22" ht="12.75" hidden="1">
      <c r="A31" s="56"/>
      <c r="B31" s="11"/>
      <c r="C31" s="23"/>
      <c r="D31" s="78"/>
      <c r="E31" s="23"/>
      <c r="F31" s="23"/>
      <c r="G31" s="2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07"/>
      <c r="V31" s="77"/>
    </row>
    <row r="32" spans="1:22" s="114" customFormat="1" ht="12.75" hidden="1">
      <c r="A32" s="62" t="s">
        <v>87</v>
      </c>
      <c r="B32" s="122" t="s">
        <v>206</v>
      </c>
      <c r="C32" s="36" t="s">
        <v>9</v>
      </c>
      <c r="D32" s="118" t="s">
        <v>199</v>
      </c>
      <c r="E32" s="36">
        <v>853</v>
      </c>
      <c r="F32" s="36">
        <v>290</v>
      </c>
      <c r="G32" s="36"/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20"/>
      <c r="V32" s="121">
        <f>SUM(I32:T32)</f>
        <v>0</v>
      </c>
    </row>
    <row r="33" spans="1:22" ht="12.75">
      <c r="A33" s="56"/>
      <c r="B33" s="11"/>
      <c r="C33" s="23"/>
      <c r="D33" s="78"/>
      <c r="E33" s="23"/>
      <c r="F33" s="23"/>
      <c r="G33" s="2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07"/>
      <c r="V33" s="106"/>
    </row>
    <row r="34" spans="1:22" ht="12.75">
      <c r="A34" s="56"/>
      <c r="B34" s="25" t="s">
        <v>45</v>
      </c>
      <c r="C34" s="25" t="s">
        <v>9</v>
      </c>
      <c r="D34" s="23"/>
      <c r="E34" s="23"/>
      <c r="F34" s="23"/>
      <c r="G34" s="23"/>
      <c r="H34" s="30">
        <f aca="true" t="shared" si="3" ref="H34:T34">H14+H30+H32</f>
        <v>8232865</v>
      </c>
      <c r="I34" s="30">
        <f t="shared" si="3"/>
        <v>231843.25</v>
      </c>
      <c r="J34" s="30">
        <f t="shared" si="3"/>
        <v>667757.4</v>
      </c>
      <c r="K34" s="30">
        <f t="shared" si="3"/>
        <v>646976.71</v>
      </c>
      <c r="L34" s="30">
        <f t="shared" si="3"/>
        <v>616743.39</v>
      </c>
      <c r="M34" s="30">
        <f t="shared" si="3"/>
        <v>567034.44</v>
      </c>
      <c r="N34" s="30">
        <f t="shared" si="3"/>
        <v>600101.21</v>
      </c>
      <c r="O34" s="30">
        <f t="shared" si="3"/>
        <v>724571.13</v>
      </c>
      <c r="P34" s="30">
        <f t="shared" si="3"/>
        <v>567598.12</v>
      </c>
      <c r="Q34" s="30">
        <f t="shared" si="3"/>
        <v>781896.5700000001</v>
      </c>
      <c r="R34" s="30">
        <f t="shared" si="3"/>
        <v>769610.69</v>
      </c>
      <c r="S34" s="30">
        <f t="shared" si="3"/>
        <v>900588.5599999999</v>
      </c>
      <c r="T34" s="30">
        <f t="shared" si="3"/>
        <v>1158143.53</v>
      </c>
      <c r="U34" s="97"/>
      <c r="V34" s="97">
        <f>V14+V30+V32</f>
        <v>8232865</v>
      </c>
    </row>
    <row r="35" spans="1:22" ht="12.75">
      <c r="A35" s="56"/>
      <c r="B35" s="25"/>
      <c r="C35" s="26"/>
      <c r="D35" s="28"/>
      <c r="E35" s="28"/>
      <c r="F35" s="28"/>
      <c r="G35" s="2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102"/>
      <c r="V35" s="15"/>
    </row>
    <row r="36" spans="1:23" s="7" customFormat="1" ht="76.5">
      <c r="A36" s="62" t="s">
        <v>87</v>
      </c>
      <c r="B36" s="90" t="s">
        <v>162</v>
      </c>
      <c r="C36" s="37" t="s">
        <v>46</v>
      </c>
      <c r="D36" s="84" t="s">
        <v>151</v>
      </c>
      <c r="E36" s="37">
        <v>540</v>
      </c>
      <c r="F36" s="37">
        <v>251</v>
      </c>
      <c r="G36" s="11" t="s">
        <v>47</v>
      </c>
      <c r="H36" s="13">
        <v>183700</v>
      </c>
      <c r="I36" s="13">
        <f>78750+13250</f>
        <v>92000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f>104950-13250</f>
        <v>91700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01"/>
      <c r="V36" s="77">
        <f>SUM(I36:T36)</f>
        <v>183700</v>
      </c>
      <c r="W36" s="85"/>
    </row>
    <row r="37" spans="1:23" s="7" customFormat="1" ht="76.5">
      <c r="A37" s="62" t="s">
        <v>87</v>
      </c>
      <c r="B37" s="90" t="s">
        <v>163</v>
      </c>
      <c r="C37" s="37" t="s">
        <v>46</v>
      </c>
      <c r="D37" s="84" t="s">
        <v>152</v>
      </c>
      <c r="E37" s="37">
        <v>540</v>
      </c>
      <c r="F37" s="37">
        <v>251</v>
      </c>
      <c r="G37" s="11" t="s">
        <v>47</v>
      </c>
      <c r="H37" s="13">
        <v>170900</v>
      </c>
      <c r="I37" s="13">
        <v>0</v>
      </c>
      <c r="J37" s="112">
        <f>71575+14425</f>
        <v>86000</v>
      </c>
      <c r="K37" s="13">
        <v>0</v>
      </c>
      <c r="L37" s="13">
        <v>13075</v>
      </c>
      <c r="M37" s="13">
        <v>0</v>
      </c>
      <c r="N37" s="13">
        <v>0</v>
      </c>
      <c r="O37" s="13">
        <f>82875-14425</f>
        <v>68450</v>
      </c>
      <c r="P37" s="13">
        <v>0</v>
      </c>
      <c r="Q37" s="13">
        <v>0</v>
      </c>
      <c r="R37" s="13">
        <v>3375</v>
      </c>
      <c r="S37" s="13">
        <v>0</v>
      </c>
      <c r="T37" s="13">
        <v>0</v>
      </c>
      <c r="U37" s="101"/>
      <c r="V37" s="77">
        <f>SUM(I37:T37)</f>
        <v>170900</v>
      </c>
      <c r="W37" s="85"/>
    </row>
    <row r="38" spans="1:23" s="7" customFormat="1" ht="12.75">
      <c r="A38" s="65"/>
      <c r="B38" s="89"/>
      <c r="C38" s="11"/>
      <c r="D38" s="79"/>
      <c r="E38" s="11"/>
      <c r="F38" s="11"/>
      <c r="G38" s="11"/>
      <c r="H38" s="34"/>
      <c r="I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101"/>
      <c r="V38" s="77"/>
      <c r="W38" s="85"/>
    </row>
    <row r="39" spans="1:23" ht="12.75">
      <c r="A39" s="56"/>
      <c r="B39" s="25" t="s">
        <v>45</v>
      </c>
      <c r="C39" s="25" t="s">
        <v>46</v>
      </c>
      <c r="D39" s="23"/>
      <c r="E39" s="23"/>
      <c r="F39" s="23"/>
      <c r="G39" s="23"/>
      <c r="H39" s="30">
        <f aca="true" t="shared" si="4" ref="H39:T39">H37+H36</f>
        <v>354600</v>
      </c>
      <c r="I39" s="30">
        <f t="shared" si="4"/>
        <v>92000</v>
      </c>
      <c r="J39" s="30">
        <f t="shared" si="4"/>
        <v>86000</v>
      </c>
      <c r="K39" s="30">
        <f t="shared" si="4"/>
        <v>0</v>
      </c>
      <c r="L39" s="30">
        <f t="shared" si="4"/>
        <v>13075</v>
      </c>
      <c r="M39" s="30">
        <f t="shared" si="4"/>
        <v>0</v>
      </c>
      <c r="N39" s="30">
        <f t="shared" si="4"/>
        <v>0</v>
      </c>
      <c r="O39" s="30">
        <f t="shared" si="4"/>
        <v>160150</v>
      </c>
      <c r="P39" s="30">
        <f t="shared" si="4"/>
        <v>0</v>
      </c>
      <c r="Q39" s="30">
        <f t="shared" si="4"/>
        <v>0</v>
      </c>
      <c r="R39" s="30">
        <f t="shared" si="4"/>
        <v>3375</v>
      </c>
      <c r="S39" s="30">
        <f t="shared" si="4"/>
        <v>0</v>
      </c>
      <c r="T39" s="30">
        <f t="shared" si="4"/>
        <v>0</v>
      </c>
      <c r="U39" s="102"/>
      <c r="V39" s="86">
        <f>SUM(I39:T39)</f>
        <v>354600</v>
      </c>
      <c r="W39" s="3"/>
    </row>
    <row r="40" spans="1:23" ht="12.75">
      <c r="A40" s="56"/>
      <c r="B40" s="25"/>
      <c r="C40" s="25"/>
      <c r="D40" s="23"/>
      <c r="E40" s="23"/>
      <c r="F40" s="23"/>
      <c r="G40" s="2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102"/>
      <c r="V40" s="32"/>
      <c r="W40" s="3"/>
    </row>
    <row r="41" spans="1:23" s="7" customFormat="1" ht="25.5">
      <c r="A41" s="62" t="s">
        <v>87</v>
      </c>
      <c r="B41" s="90" t="s">
        <v>164</v>
      </c>
      <c r="C41" s="37" t="s">
        <v>48</v>
      </c>
      <c r="D41" s="84" t="s">
        <v>153</v>
      </c>
      <c r="E41" s="37">
        <v>870</v>
      </c>
      <c r="F41" s="37">
        <v>290</v>
      </c>
      <c r="G41" s="11"/>
      <c r="H41" s="13">
        <v>20000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20000</v>
      </c>
      <c r="U41" s="101"/>
      <c r="V41" s="77">
        <f>SUM(I41:T41)</f>
        <v>20000</v>
      </c>
      <c r="W41" s="85"/>
    </row>
    <row r="42" spans="1:22" s="7" customFormat="1" ht="12.75">
      <c r="A42" s="65"/>
      <c r="B42" s="11"/>
      <c r="C42" s="11"/>
      <c r="D42" s="80"/>
      <c r="E42" s="11"/>
      <c r="F42" s="11"/>
      <c r="G42" s="1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101"/>
      <c r="V42" s="77"/>
    </row>
    <row r="43" spans="1:22" ht="12.75">
      <c r="A43" s="56"/>
      <c r="B43" s="25" t="s">
        <v>45</v>
      </c>
      <c r="C43" s="25" t="s">
        <v>17</v>
      </c>
      <c r="D43" s="11"/>
      <c r="E43" s="11"/>
      <c r="F43" s="11"/>
      <c r="G43" s="25"/>
      <c r="H43" s="30">
        <f aca="true" t="shared" si="5" ref="H43:T43">H41</f>
        <v>20000</v>
      </c>
      <c r="I43" s="30">
        <f t="shared" si="5"/>
        <v>0</v>
      </c>
      <c r="J43" s="30">
        <f t="shared" si="5"/>
        <v>0</v>
      </c>
      <c r="K43" s="30">
        <f t="shared" si="5"/>
        <v>0</v>
      </c>
      <c r="L43" s="30">
        <f t="shared" si="5"/>
        <v>0</v>
      </c>
      <c r="M43" s="30">
        <f t="shared" si="5"/>
        <v>0</v>
      </c>
      <c r="N43" s="30">
        <f t="shared" si="5"/>
        <v>0</v>
      </c>
      <c r="O43" s="30">
        <f t="shared" si="5"/>
        <v>0</v>
      </c>
      <c r="P43" s="30">
        <f t="shared" si="5"/>
        <v>0</v>
      </c>
      <c r="Q43" s="30">
        <f t="shared" si="5"/>
        <v>0</v>
      </c>
      <c r="R43" s="30">
        <f t="shared" si="5"/>
        <v>0</v>
      </c>
      <c r="S43" s="30">
        <f t="shared" si="5"/>
        <v>0</v>
      </c>
      <c r="T43" s="30">
        <f t="shared" si="5"/>
        <v>20000</v>
      </c>
      <c r="U43" s="102"/>
      <c r="V43" s="47">
        <f>SUM(I43:T43)</f>
        <v>20000</v>
      </c>
    </row>
    <row r="44" spans="1:22" s="3" customFormat="1" ht="12.75">
      <c r="A44" s="60"/>
      <c r="B44" s="61"/>
      <c r="C44" s="31"/>
      <c r="D44" s="31"/>
      <c r="E44" s="31"/>
      <c r="F44" s="31"/>
      <c r="G44" s="6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102"/>
      <c r="V44" s="32"/>
    </row>
    <row r="45" spans="1:22" ht="12.75">
      <c r="A45" s="56"/>
      <c r="B45" s="25"/>
      <c r="C45" s="11"/>
      <c r="D45" s="11"/>
      <c r="E45" s="11"/>
      <c r="F45" s="11"/>
      <c r="G45" s="25"/>
      <c r="H45" s="33"/>
      <c r="I45" s="30"/>
      <c r="J45" s="30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101"/>
      <c r="V45" s="15"/>
    </row>
    <row r="46" spans="1:22" ht="76.5">
      <c r="A46" s="62" t="s">
        <v>87</v>
      </c>
      <c r="B46" s="90" t="s">
        <v>105</v>
      </c>
      <c r="C46" s="37" t="s">
        <v>6</v>
      </c>
      <c r="D46" s="84" t="s">
        <v>140</v>
      </c>
      <c r="E46" s="36"/>
      <c r="F46" s="36"/>
      <c r="G46" s="41"/>
      <c r="H46" s="13">
        <f aca="true" t="shared" si="6" ref="H46:T46">H48+H54+H66</f>
        <v>14358554</v>
      </c>
      <c r="I46" s="13">
        <f t="shared" si="6"/>
        <v>664714.3</v>
      </c>
      <c r="J46" s="13">
        <f t="shared" si="6"/>
        <v>1327176.7899999998</v>
      </c>
      <c r="K46" s="13">
        <f t="shared" si="6"/>
        <v>1017483.63</v>
      </c>
      <c r="L46" s="13">
        <f t="shared" si="6"/>
        <v>1288204.7</v>
      </c>
      <c r="M46" s="13">
        <f t="shared" si="6"/>
        <v>1098486.37</v>
      </c>
      <c r="N46" s="13">
        <f t="shared" si="6"/>
        <v>1212602.49</v>
      </c>
      <c r="O46" s="13">
        <f t="shared" si="6"/>
        <v>1104880.55</v>
      </c>
      <c r="P46" s="13">
        <f t="shared" si="6"/>
        <v>1196680.77</v>
      </c>
      <c r="Q46" s="13">
        <f t="shared" si="6"/>
        <v>1166899.35</v>
      </c>
      <c r="R46" s="13">
        <f t="shared" si="6"/>
        <v>1289162.46</v>
      </c>
      <c r="S46" s="13">
        <f t="shared" si="6"/>
        <v>1303672.4300000002</v>
      </c>
      <c r="T46" s="13">
        <f t="shared" si="6"/>
        <v>1688590.1600000001</v>
      </c>
      <c r="U46" s="101"/>
      <c r="V46" s="87">
        <f>V48+V54+V66</f>
        <v>14358554</v>
      </c>
    </row>
    <row r="47" spans="1:22" ht="12.75">
      <c r="A47" s="60"/>
      <c r="B47" s="67"/>
      <c r="C47" s="12"/>
      <c r="D47" s="12"/>
      <c r="E47" s="12"/>
      <c r="F47" s="12"/>
      <c r="G47" s="1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00"/>
      <c r="V47" s="15"/>
    </row>
    <row r="48" spans="1:22" s="7" customFormat="1" ht="25.5">
      <c r="A48" s="62" t="s">
        <v>87</v>
      </c>
      <c r="B48" s="90" t="s">
        <v>49</v>
      </c>
      <c r="C48" s="37" t="s">
        <v>6</v>
      </c>
      <c r="D48" s="37">
        <v>5210000000</v>
      </c>
      <c r="E48" s="36"/>
      <c r="F48" s="36"/>
      <c r="G48" s="37"/>
      <c r="H48" s="13">
        <f aca="true" t="shared" si="7" ref="H48:T48">H49+H50+H51+H52</f>
        <v>4298554</v>
      </c>
      <c r="I48" s="13">
        <f t="shared" si="7"/>
        <v>330702.5</v>
      </c>
      <c r="J48" s="13">
        <f t="shared" si="7"/>
        <v>549076.86</v>
      </c>
      <c r="K48" s="13">
        <f t="shared" si="7"/>
        <v>324402</v>
      </c>
      <c r="L48" s="13">
        <f t="shared" si="7"/>
        <v>446944</v>
      </c>
      <c r="M48" s="13">
        <f t="shared" si="7"/>
        <v>315341</v>
      </c>
      <c r="N48" s="13">
        <f t="shared" si="7"/>
        <v>324081</v>
      </c>
      <c r="O48" s="13">
        <f t="shared" si="7"/>
        <v>267823</v>
      </c>
      <c r="P48" s="13">
        <f t="shared" si="7"/>
        <v>358840</v>
      </c>
      <c r="Q48" s="13">
        <f t="shared" si="7"/>
        <v>387841</v>
      </c>
      <c r="R48" s="13">
        <f t="shared" si="7"/>
        <v>393081.54</v>
      </c>
      <c r="S48" s="13">
        <f t="shared" si="7"/>
        <v>290222</v>
      </c>
      <c r="T48" s="13">
        <f t="shared" si="7"/>
        <v>310199.1</v>
      </c>
      <c r="U48" s="101"/>
      <c r="V48" s="87">
        <f>V49+V50+V51+V52</f>
        <v>4298554</v>
      </c>
    </row>
    <row r="49" spans="1:22" ht="25.5">
      <c r="A49" s="56" t="s">
        <v>87</v>
      </c>
      <c r="B49" s="109" t="s">
        <v>165</v>
      </c>
      <c r="C49" s="23" t="s">
        <v>6</v>
      </c>
      <c r="D49" s="23">
        <v>5210100590</v>
      </c>
      <c r="E49" s="23">
        <v>111</v>
      </c>
      <c r="F49" s="23">
        <v>211</v>
      </c>
      <c r="G49" s="23"/>
      <c r="H49" s="24">
        <f>2825577+116785</f>
        <v>2942362</v>
      </c>
      <c r="I49" s="14">
        <f>101400+117670.5</f>
        <v>219070.5</v>
      </c>
      <c r="J49" s="14">
        <f>218095+31012.46</f>
        <v>249107.46</v>
      </c>
      <c r="K49" s="14">
        <v>246332</v>
      </c>
      <c r="L49" s="14">
        <v>287704</v>
      </c>
      <c r="M49" s="14">
        <v>221360</v>
      </c>
      <c r="N49" s="14">
        <v>248778</v>
      </c>
      <c r="O49" s="14">
        <v>187019</v>
      </c>
      <c r="P49" s="14">
        <v>269483</v>
      </c>
      <c r="Q49" s="14">
        <f>178393+116785</f>
        <v>295178</v>
      </c>
      <c r="R49" s="14">
        <f>326954-31012.46</f>
        <v>295941.54</v>
      </c>
      <c r="S49" s="14">
        <v>204011</v>
      </c>
      <c r="T49" s="14">
        <f>336048-117670.5</f>
        <v>218377.5</v>
      </c>
      <c r="U49" s="100"/>
      <c r="V49" s="15">
        <f>SUM(I49:T49)</f>
        <v>2942362</v>
      </c>
    </row>
    <row r="50" spans="1:22" ht="89.25">
      <c r="A50" s="56" t="s">
        <v>87</v>
      </c>
      <c r="B50" s="109" t="s">
        <v>166</v>
      </c>
      <c r="C50" s="23" t="s">
        <v>6</v>
      </c>
      <c r="D50" s="23">
        <v>5210100590</v>
      </c>
      <c r="E50" s="23">
        <v>119</v>
      </c>
      <c r="F50" s="10">
        <v>213</v>
      </c>
      <c r="G50" s="23"/>
      <c r="H50" s="24">
        <f>853323+35269-12304.5</f>
        <v>876287.5</v>
      </c>
      <c r="I50" s="14">
        <v>0</v>
      </c>
      <c r="J50" s="14">
        <f>65272+35424.9</f>
        <v>100696.9</v>
      </c>
      <c r="K50" s="14">
        <v>64970</v>
      </c>
      <c r="L50" s="14">
        <v>70940</v>
      </c>
      <c r="M50" s="14">
        <v>84381</v>
      </c>
      <c r="N50" s="14">
        <v>65703</v>
      </c>
      <c r="O50" s="14">
        <v>72604</v>
      </c>
      <c r="P50" s="14">
        <v>70157</v>
      </c>
      <c r="Q50" s="14">
        <v>71663</v>
      </c>
      <c r="R50" s="14">
        <f>61871+35269</f>
        <v>97140</v>
      </c>
      <c r="S50" s="14">
        <v>86211</v>
      </c>
      <c r="T50" s="14">
        <f>139551-12304.5-35424.9</f>
        <v>91821.6</v>
      </c>
      <c r="U50" s="100"/>
      <c r="V50" s="15">
        <f>SUM(I50:T50)</f>
        <v>876287.5</v>
      </c>
    </row>
    <row r="51" spans="1:22" ht="25.5">
      <c r="A51" s="56" t="s">
        <v>87</v>
      </c>
      <c r="B51" s="48" t="s">
        <v>157</v>
      </c>
      <c r="C51" s="23" t="s">
        <v>6</v>
      </c>
      <c r="D51" s="23">
        <v>5210100590</v>
      </c>
      <c r="E51" s="23">
        <v>244</v>
      </c>
      <c r="F51" s="23">
        <v>226</v>
      </c>
      <c r="G51" s="23"/>
      <c r="H51" s="24">
        <f>403300+8300+12304.5</f>
        <v>423904.5</v>
      </c>
      <c r="I51" s="14">
        <f>9600+10992+91040</f>
        <v>111632</v>
      </c>
      <c r="J51" s="14">
        <f>9600+21900-10992-10908+8300+52990+27368+21904.5+24110+44600</f>
        <v>188872.5</v>
      </c>
      <c r="K51" s="14">
        <f>9600+3500</f>
        <v>13100</v>
      </c>
      <c r="L51" s="14">
        <v>73300</v>
      </c>
      <c r="M51" s="14">
        <v>9600</v>
      </c>
      <c r="N51" s="14">
        <v>9600</v>
      </c>
      <c r="O51" s="14">
        <f>52800-44600</f>
        <v>8200</v>
      </c>
      <c r="P51" s="14">
        <v>9600</v>
      </c>
      <c r="Q51" s="14">
        <v>0</v>
      </c>
      <c r="R51" s="14">
        <v>0</v>
      </c>
      <c r="S51" s="14">
        <v>0</v>
      </c>
      <c r="T51" s="14">
        <v>0</v>
      </c>
      <c r="U51" s="100"/>
      <c r="V51" s="15">
        <f>SUM(I51:T51)</f>
        <v>423904.5</v>
      </c>
    </row>
    <row r="52" spans="1:22" ht="38.25">
      <c r="A52" s="56" t="s">
        <v>87</v>
      </c>
      <c r="B52" s="48" t="s">
        <v>158</v>
      </c>
      <c r="C52" s="23" t="s">
        <v>6</v>
      </c>
      <c r="D52" s="23">
        <v>5210100590</v>
      </c>
      <c r="E52" s="23">
        <v>244</v>
      </c>
      <c r="F52" s="23">
        <v>340</v>
      </c>
      <c r="G52" s="23"/>
      <c r="H52" s="24">
        <v>56000</v>
      </c>
      <c r="I52" s="14">
        <v>0</v>
      </c>
      <c r="J52" s="14">
        <v>10400</v>
      </c>
      <c r="K52" s="14">
        <v>0</v>
      </c>
      <c r="L52" s="14">
        <v>15000</v>
      </c>
      <c r="M52" s="14">
        <v>0</v>
      </c>
      <c r="N52" s="14">
        <v>0</v>
      </c>
      <c r="O52" s="14">
        <v>0</v>
      </c>
      <c r="P52" s="14">
        <f>20000-10400</f>
        <v>9600</v>
      </c>
      <c r="Q52" s="14">
        <v>21000</v>
      </c>
      <c r="R52" s="14">
        <v>0</v>
      </c>
      <c r="S52" s="14">
        <v>0</v>
      </c>
      <c r="T52" s="14">
        <v>0</v>
      </c>
      <c r="U52" s="100"/>
      <c r="V52" s="15">
        <f>SUM(I52:T52)</f>
        <v>56000</v>
      </c>
    </row>
    <row r="53" spans="1:22" ht="12.75">
      <c r="A53" s="56"/>
      <c r="B53" s="23"/>
      <c r="C53" s="28"/>
      <c r="D53" s="28"/>
      <c r="E53" s="28"/>
      <c r="F53" s="28"/>
      <c r="G53" s="2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00"/>
      <c r="V53" s="15"/>
    </row>
    <row r="54" spans="1:22" s="7" customFormat="1" ht="85.5" customHeight="1">
      <c r="A54" s="62" t="s">
        <v>87</v>
      </c>
      <c r="B54" s="90" t="s">
        <v>51</v>
      </c>
      <c r="C54" s="37" t="s">
        <v>6</v>
      </c>
      <c r="D54" s="37">
        <v>5220000000</v>
      </c>
      <c r="E54" s="37"/>
      <c r="F54" s="36"/>
      <c r="G54" s="37"/>
      <c r="H54" s="13">
        <f aca="true" t="shared" si="8" ref="H54:T54">H55+H56+H59+H61+H62+H63+H58+H60+H57+H64</f>
        <v>8676500</v>
      </c>
      <c r="I54" s="13">
        <f t="shared" si="8"/>
        <v>278493.50999999995</v>
      </c>
      <c r="J54" s="13">
        <f t="shared" si="8"/>
        <v>685563.54</v>
      </c>
      <c r="K54" s="13">
        <f t="shared" si="8"/>
        <v>581199.92</v>
      </c>
      <c r="L54" s="13">
        <f t="shared" si="8"/>
        <v>749060.7</v>
      </c>
      <c r="M54" s="13">
        <f t="shared" si="8"/>
        <v>619245.37</v>
      </c>
      <c r="N54" s="13">
        <f t="shared" si="8"/>
        <v>769040</v>
      </c>
      <c r="O54" s="13">
        <f t="shared" si="8"/>
        <v>746932.55</v>
      </c>
      <c r="P54" s="13">
        <f t="shared" si="8"/>
        <v>727240.77</v>
      </c>
      <c r="Q54" s="13">
        <f t="shared" si="8"/>
        <v>678458.35</v>
      </c>
      <c r="R54" s="13">
        <f t="shared" si="8"/>
        <v>755180.92</v>
      </c>
      <c r="S54" s="13">
        <f t="shared" si="8"/>
        <v>889550.43</v>
      </c>
      <c r="T54" s="13">
        <f t="shared" si="8"/>
        <v>1196533.9400000002</v>
      </c>
      <c r="U54" s="101"/>
      <c r="V54" s="88">
        <f>V55+V56+V59+V61+V62+V63+V58+V60+V57+V64</f>
        <v>8676500</v>
      </c>
    </row>
    <row r="55" spans="1:22" ht="25.5">
      <c r="A55" s="56" t="s">
        <v>87</v>
      </c>
      <c r="B55" s="109" t="s">
        <v>165</v>
      </c>
      <c r="C55" s="23" t="s">
        <v>6</v>
      </c>
      <c r="D55" s="23">
        <v>5220100590</v>
      </c>
      <c r="E55" s="23">
        <v>111</v>
      </c>
      <c r="F55" s="23">
        <v>211</v>
      </c>
      <c r="G55" s="23"/>
      <c r="H55" s="24">
        <v>5264210</v>
      </c>
      <c r="I55" s="14">
        <f>222675-44825.83</f>
        <v>177849.16999999998</v>
      </c>
      <c r="J55" s="14">
        <f>412560+60323.39</f>
        <v>472883.39</v>
      </c>
      <c r="K55" s="14">
        <v>361449</v>
      </c>
      <c r="L55" s="14">
        <v>404904</v>
      </c>
      <c r="M55" s="14">
        <v>403786</v>
      </c>
      <c r="N55" s="14">
        <v>563806</v>
      </c>
      <c r="O55" s="14">
        <v>467614</v>
      </c>
      <c r="P55" s="14">
        <v>466909</v>
      </c>
      <c r="Q55" s="14">
        <v>414738</v>
      </c>
      <c r="R55" s="14">
        <f>464562+44825.83</f>
        <v>509387.83</v>
      </c>
      <c r="S55" s="14">
        <v>534680</v>
      </c>
      <c r="T55" s="14">
        <f>546527-60323.39</f>
        <v>486203.61</v>
      </c>
      <c r="U55" s="100"/>
      <c r="V55" s="15">
        <f aca="true" t="shared" si="9" ref="V55:V64">SUM(I55:T55)</f>
        <v>5264210</v>
      </c>
    </row>
    <row r="56" spans="1:22" ht="89.25">
      <c r="A56" s="56" t="s">
        <v>87</v>
      </c>
      <c r="B56" s="109" t="s">
        <v>166</v>
      </c>
      <c r="C56" s="23" t="s">
        <v>6</v>
      </c>
      <c r="D56" s="23">
        <v>5220100590</v>
      </c>
      <c r="E56" s="23">
        <v>119</v>
      </c>
      <c r="F56" s="23">
        <v>213</v>
      </c>
      <c r="G56" s="23"/>
      <c r="H56" s="24">
        <v>1589790</v>
      </c>
      <c r="I56" s="14">
        <v>0</v>
      </c>
      <c r="J56" s="14">
        <f>140735.45-20578.8-0.65+1194.38</f>
        <v>121350.38000000002</v>
      </c>
      <c r="K56" s="14">
        <f>140735.45-29625.34-0.11</f>
        <v>111110.00000000001</v>
      </c>
      <c r="L56" s="14">
        <f>140735.45-30151.55-0.9</f>
        <v>110583.00000000001</v>
      </c>
      <c r="M56" s="14">
        <f>140735.45-23429.22-0.23</f>
        <v>117306.00000000001</v>
      </c>
      <c r="N56" s="14">
        <f>140735.45-24345.74-0.71</f>
        <v>116389</v>
      </c>
      <c r="O56" s="14">
        <f>140735.45+20083-886.53-0.92</f>
        <v>159931</v>
      </c>
      <c r="P56" s="14">
        <f>140735.45+20083-37113.77-0.68</f>
        <v>123704.00000000003</v>
      </c>
      <c r="Q56" s="14">
        <f>140735.45+23429.22-55788.94-0.73</f>
        <v>108375.00000000001</v>
      </c>
      <c r="R56" s="14">
        <f>140735.45+30151.55+55788.94-120501.44-0.5</f>
        <v>106174</v>
      </c>
      <c r="S56" s="14">
        <f>140735.45+29625.34+17200+60250.72-49943.05+3184-0.46</f>
        <v>201052.00000000003</v>
      </c>
      <c r="T56" s="14">
        <f>315010-1194.38</f>
        <v>313815.62</v>
      </c>
      <c r="U56" s="100"/>
      <c r="V56" s="15">
        <f t="shared" si="9"/>
        <v>1589790</v>
      </c>
    </row>
    <row r="57" spans="1:22" ht="38.25" hidden="1">
      <c r="A57" s="56" t="s">
        <v>87</v>
      </c>
      <c r="B57" s="109" t="s">
        <v>200</v>
      </c>
      <c r="C57" s="23" t="s">
        <v>6</v>
      </c>
      <c r="D57" s="23">
        <v>5220100590</v>
      </c>
      <c r="E57" s="23">
        <v>112</v>
      </c>
      <c r="F57" s="23">
        <v>213</v>
      </c>
      <c r="G57" s="23"/>
      <c r="H57" s="2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00"/>
      <c r="V57" s="15">
        <f t="shared" si="9"/>
        <v>0</v>
      </c>
    </row>
    <row r="58" spans="1:22" ht="51">
      <c r="A58" s="56" t="s">
        <v>87</v>
      </c>
      <c r="B58" s="48" t="s">
        <v>169</v>
      </c>
      <c r="C58" s="23" t="s">
        <v>6</v>
      </c>
      <c r="D58" s="23">
        <v>5220100590</v>
      </c>
      <c r="E58" s="23">
        <v>242</v>
      </c>
      <c r="F58" s="23"/>
      <c r="G58" s="23"/>
      <c r="H58" s="24">
        <v>408800</v>
      </c>
      <c r="I58" s="14">
        <v>21911.15</v>
      </c>
      <c r="J58" s="14">
        <f>35736.36-13789.61-0.75-1426.48</f>
        <v>20519.52</v>
      </c>
      <c r="K58" s="14">
        <f>35736.36-15879.46+2000-0.9</f>
        <v>21856</v>
      </c>
      <c r="L58" s="14">
        <f>35736.36-15879.46+2000-0.9</f>
        <v>21856</v>
      </c>
      <c r="M58" s="14">
        <f>35736.36-15729.7+2000-0.66</f>
        <v>22006</v>
      </c>
      <c r="N58" s="14">
        <f>35736.36-14040.77+1000-0.59</f>
        <v>22695</v>
      </c>
      <c r="O58" s="14">
        <f>35736.36-14296.08+1000-0.28</f>
        <v>22440</v>
      </c>
      <c r="P58" s="14">
        <f>35736.36+14040.77+14296.08-44514.63+3000-0.58</f>
        <v>22558.000000000007</v>
      </c>
      <c r="Q58" s="14">
        <f>35736.36+15729.7-31657.49+3000-0.57</f>
        <v>22807.999999999996</v>
      </c>
      <c r="R58" s="14">
        <f>35736.36+15879.46-31051.73+1700-0.09</f>
        <v>22264</v>
      </c>
      <c r="S58" s="14">
        <f>22623+1426.48</f>
        <v>24049.48</v>
      </c>
      <c r="T58" s="14">
        <v>163836.85</v>
      </c>
      <c r="U58" s="100"/>
      <c r="V58" s="15">
        <f t="shared" si="9"/>
        <v>408800</v>
      </c>
    </row>
    <row r="59" spans="1:22" ht="25.5">
      <c r="A59" s="56" t="s">
        <v>87</v>
      </c>
      <c r="B59" s="110" t="s">
        <v>168</v>
      </c>
      <c r="C59" s="23" t="s">
        <v>6</v>
      </c>
      <c r="D59" s="23">
        <v>5220100590</v>
      </c>
      <c r="E59" s="23">
        <v>247</v>
      </c>
      <c r="F59" s="23">
        <v>226</v>
      </c>
      <c r="G59" s="23"/>
      <c r="H59" s="24">
        <v>384500</v>
      </c>
      <c r="I59" s="14">
        <v>14924.46</v>
      </c>
      <c r="J59" s="14">
        <f>3295+14327.8+29655</f>
        <v>47277.8</v>
      </c>
      <c r="K59" s="14">
        <f>54800-29655+15327.2</f>
        <v>40472.2</v>
      </c>
      <c r="L59" s="14">
        <v>32000</v>
      </c>
      <c r="M59" s="14">
        <v>17800</v>
      </c>
      <c r="N59" s="14">
        <f>11100+350</f>
        <v>11450</v>
      </c>
      <c r="O59" s="14">
        <v>25800</v>
      </c>
      <c r="P59" s="14">
        <v>34700</v>
      </c>
      <c r="Q59" s="14">
        <v>47500</v>
      </c>
      <c r="R59" s="14">
        <v>31200</v>
      </c>
      <c r="S59" s="14">
        <v>31500</v>
      </c>
      <c r="T59" s="14">
        <f>64800-14924.46</f>
        <v>49875.54</v>
      </c>
      <c r="U59" s="100"/>
      <c r="V59" s="15">
        <f t="shared" si="9"/>
        <v>384499.99999999994</v>
      </c>
    </row>
    <row r="60" spans="1:22" ht="25.5">
      <c r="A60" s="56"/>
      <c r="B60" s="48" t="s">
        <v>157</v>
      </c>
      <c r="C60" s="23" t="s">
        <v>6</v>
      </c>
      <c r="D60" s="23">
        <v>5220100590</v>
      </c>
      <c r="E60" s="23">
        <v>244</v>
      </c>
      <c r="F60" s="23"/>
      <c r="G60" s="23"/>
      <c r="H60" s="24">
        <v>483700</v>
      </c>
      <c r="I60" s="14">
        <f>43000-1318.27</f>
        <v>41681.73</v>
      </c>
      <c r="J60" s="14">
        <f>49980-36147.55</f>
        <v>13832.449999999997</v>
      </c>
      <c r="K60" s="14">
        <f>28600+675</f>
        <v>29275</v>
      </c>
      <c r="L60" s="14">
        <f>117732</f>
        <v>117732</v>
      </c>
      <c r="M60" s="14">
        <f>28600+675-62</f>
        <v>29213</v>
      </c>
      <c r="N60" s="14">
        <v>15800</v>
      </c>
      <c r="O60" s="14">
        <f>12500+36147.55</f>
        <v>48647.55</v>
      </c>
      <c r="P60" s="14">
        <v>46100</v>
      </c>
      <c r="Q60" s="14">
        <v>29300</v>
      </c>
      <c r="R60" s="14">
        <v>29300</v>
      </c>
      <c r="S60" s="14">
        <f>22100+1318.27</f>
        <v>23418.27</v>
      </c>
      <c r="T60" s="14">
        <v>59400</v>
      </c>
      <c r="U60" s="100"/>
      <c r="V60" s="15">
        <f t="shared" si="9"/>
        <v>483700</v>
      </c>
    </row>
    <row r="61" spans="1:22" s="7" customFormat="1" ht="38.25">
      <c r="A61" s="65" t="s">
        <v>87</v>
      </c>
      <c r="B61" s="48" t="s">
        <v>158</v>
      </c>
      <c r="C61" s="23" t="s">
        <v>6</v>
      </c>
      <c r="D61" s="23">
        <v>5220100590</v>
      </c>
      <c r="E61" s="23">
        <v>244</v>
      </c>
      <c r="F61" s="23">
        <v>340</v>
      </c>
      <c r="G61" s="23" t="s">
        <v>41</v>
      </c>
      <c r="H61" s="24">
        <v>486500</v>
      </c>
      <c r="I61" s="14">
        <v>0</v>
      </c>
      <c r="J61" s="14">
        <v>9700</v>
      </c>
      <c r="K61" s="14">
        <f>20000+32500-37585.28</f>
        <v>14914.720000000001</v>
      </c>
      <c r="L61" s="14">
        <f>32500+29485.7</f>
        <v>61985.7</v>
      </c>
      <c r="M61" s="14">
        <f>20000+32500-23365.63</f>
        <v>29134.37</v>
      </c>
      <c r="N61" s="14">
        <f>21400+32500-15000</f>
        <v>38900</v>
      </c>
      <c r="O61" s="14">
        <f>32500-10000</f>
        <v>22500</v>
      </c>
      <c r="P61" s="14">
        <f>20000+32500+10000-43330.23</f>
        <v>19169.769999999997</v>
      </c>
      <c r="Q61" s="14">
        <f>32500+23365.63+15000-15128.28</f>
        <v>55737.350000000006</v>
      </c>
      <c r="R61" s="14">
        <f>20000+32500+15000-10644.91</f>
        <v>56855.09</v>
      </c>
      <c r="S61" s="14">
        <f>20000+32500+37585.28-29485.7+15128.28+1064.91-13142.09</f>
        <v>63650.68000000001</v>
      </c>
      <c r="T61" s="14">
        <f>31100+32500+32500-31900+43330.23+9580+13142.09-16300</f>
        <v>113952.32</v>
      </c>
      <c r="U61" s="100"/>
      <c r="V61" s="15">
        <f t="shared" si="9"/>
        <v>486500</v>
      </c>
    </row>
    <row r="62" spans="1:22" ht="30.75" customHeight="1">
      <c r="A62" s="56" t="s">
        <v>87</v>
      </c>
      <c r="B62" s="48" t="s">
        <v>159</v>
      </c>
      <c r="C62" s="23" t="s">
        <v>6</v>
      </c>
      <c r="D62" s="23">
        <v>5220100590</v>
      </c>
      <c r="E62" s="23">
        <v>851</v>
      </c>
      <c r="F62" s="23">
        <v>290</v>
      </c>
      <c r="G62" s="23" t="s">
        <v>50</v>
      </c>
      <c r="H62" s="24">
        <v>46000</v>
      </c>
      <c r="I62" s="14">
        <v>20550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14100</v>
      </c>
      <c r="Q62" s="14">
        <v>0</v>
      </c>
      <c r="R62" s="14">
        <v>0</v>
      </c>
      <c r="S62" s="14">
        <v>11200</v>
      </c>
      <c r="T62" s="14">
        <f>20700-20550</f>
        <v>150</v>
      </c>
      <c r="U62" s="100"/>
      <c r="V62" s="15">
        <f t="shared" si="9"/>
        <v>46000</v>
      </c>
    </row>
    <row r="63" spans="1:22" ht="18" customHeight="1">
      <c r="A63" s="56" t="s">
        <v>87</v>
      </c>
      <c r="B63" s="48" t="s">
        <v>167</v>
      </c>
      <c r="C63" s="23" t="s">
        <v>6</v>
      </c>
      <c r="D63" s="23">
        <v>5220100590</v>
      </c>
      <c r="E63" s="23">
        <v>852</v>
      </c>
      <c r="F63" s="23"/>
      <c r="G63" s="23"/>
      <c r="H63" s="24">
        <v>13000</v>
      </c>
      <c r="I63" s="14">
        <v>1577</v>
      </c>
      <c r="J63" s="14">
        <v>0</v>
      </c>
      <c r="K63" s="14">
        <v>2123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9300</v>
      </c>
      <c r="U63" s="100"/>
      <c r="V63" s="15">
        <f t="shared" si="9"/>
        <v>13000</v>
      </c>
    </row>
    <row r="64" spans="1:22" ht="21" customHeight="1" hidden="1">
      <c r="A64" s="56" t="s">
        <v>87</v>
      </c>
      <c r="B64" s="48" t="s">
        <v>201</v>
      </c>
      <c r="C64" s="23" t="s">
        <v>6</v>
      </c>
      <c r="D64" s="23">
        <v>5220100590</v>
      </c>
      <c r="E64" s="23">
        <v>853</v>
      </c>
      <c r="F64" s="23"/>
      <c r="G64" s="23"/>
      <c r="H64" s="2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00"/>
      <c r="V64" s="15">
        <f t="shared" si="9"/>
        <v>0</v>
      </c>
    </row>
    <row r="65" spans="1:22" ht="12.75">
      <c r="A65" s="56"/>
      <c r="B65" s="23"/>
      <c r="C65" s="28"/>
      <c r="D65" s="28"/>
      <c r="E65" s="28"/>
      <c r="F65" s="28"/>
      <c r="G65" s="2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00"/>
      <c r="V65" s="15"/>
    </row>
    <row r="66" spans="1:22" s="7" customFormat="1" ht="51">
      <c r="A66" s="62" t="s">
        <v>87</v>
      </c>
      <c r="B66" s="90" t="s">
        <v>52</v>
      </c>
      <c r="C66" s="37" t="s">
        <v>6</v>
      </c>
      <c r="D66" s="37">
        <v>5230000000</v>
      </c>
      <c r="E66" s="36"/>
      <c r="F66" s="36"/>
      <c r="G66" s="37"/>
      <c r="H66" s="13">
        <f aca="true" t="shared" si="10" ref="H66:T66">H67+H68+H69</f>
        <v>1383500</v>
      </c>
      <c r="I66" s="13">
        <f t="shared" si="10"/>
        <v>55518.29</v>
      </c>
      <c r="J66" s="13">
        <f t="shared" si="10"/>
        <v>92536.39</v>
      </c>
      <c r="K66" s="13">
        <f t="shared" si="10"/>
        <v>111881.70999999999</v>
      </c>
      <c r="L66" s="13">
        <f t="shared" si="10"/>
        <v>92200</v>
      </c>
      <c r="M66" s="13">
        <f t="shared" si="10"/>
        <v>163900</v>
      </c>
      <c r="N66" s="13">
        <f t="shared" si="10"/>
        <v>119481.48999999999</v>
      </c>
      <c r="O66" s="13">
        <f t="shared" si="10"/>
        <v>90125</v>
      </c>
      <c r="P66" s="13">
        <f t="shared" si="10"/>
        <v>110600</v>
      </c>
      <c r="Q66" s="13">
        <f t="shared" si="10"/>
        <v>100600</v>
      </c>
      <c r="R66" s="13">
        <f t="shared" si="10"/>
        <v>140900</v>
      </c>
      <c r="S66" s="13">
        <f t="shared" si="10"/>
        <v>123900</v>
      </c>
      <c r="T66" s="13">
        <f t="shared" si="10"/>
        <v>181857.12</v>
      </c>
      <c r="U66" s="58"/>
      <c r="V66" s="88">
        <f>V67+V68+V69</f>
        <v>1383500</v>
      </c>
    </row>
    <row r="67" spans="1:22" ht="25.5">
      <c r="A67" s="56" t="s">
        <v>87</v>
      </c>
      <c r="B67" s="109" t="s">
        <v>165</v>
      </c>
      <c r="C67" s="23" t="s">
        <v>6</v>
      </c>
      <c r="D67" s="23">
        <v>5230100590</v>
      </c>
      <c r="E67" s="23">
        <v>111</v>
      </c>
      <c r="F67" s="23">
        <v>211</v>
      </c>
      <c r="G67" s="23"/>
      <c r="H67" s="24">
        <v>1036175</v>
      </c>
      <c r="I67" s="14">
        <f>31900+23618.29</f>
        <v>55518.29</v>
      </c>
      <c r="J67" s="14">
        <f>73700-8581.49</f>
        <v>65118.51</v>
      </c>
      <c r="K67" s="14">
        <f>110400-23618.29</f>
        <v>86781.70999999999</v>
      </c>
      <c r="L67" s="14">
        <v>62100</v>
      </c>
      <c r="M67" s="14">
        <v>141300</v>
      </c>
      <c r="N67" s="14">
        <f>53800+8581.49</f>
        <v>62381.49</v>
      </c>
      <c r="O67" s="14">
        <v>72800</v>
      </c>
      <c r="P67" s="14">
        <v>88000</v>
      </c>
      <c r="Q67" s="14">
        <v>77700</v>
      </c>
      <c r="R67" s="14">
        <v>116100</v>
      </c>
      <c r="S67" s="14">
        <v>85800</v>
      </c>
      <c r="T67" s="14">
        <v>122575</v>
      </c>
      <c r="U67" s="100"/>
      <c r="V67" s="15">
        <f>SUM(I67:T67)</f>
        <v>1036175</v>
      </c>
    </row>
    <row r="68" spans="1:22" ht="89.25">
      <c r="A68" s="56" t="s">
        <v>87</v>
      </c>
      <c r="B68" s="109" t="s">
        <v>166</v>
      </c>
      <c r="C68" s="23" t="s">
        <v>6</v>
      </c>
      <c r="D68" s="23">
        <v>5230100590</v>
      </c>
      <c r="E68" s="23">
        <v>119</v>
      </c>
      <c r="F68" s="23">
        <v>213</v>
      </c>
      <c r="G68" s="23"/>
      <c r="H68" s="24">
        <v>312925</v>
      </c>
      <c r="I68" s="14">
        <v>0</v>
      </c>
      <c r="J68" s="14">
        <f>21700+5717.88</f>
        <v>27417.88</v>
      </c>
      <c r="K68" s="14">
        <v>25100</v>
      </c>
      <c r="L68" s="14">
        <v>30100</v>
      </c>
      <c r="M68" s="14">
        <v>22600</v>
      </c>
      <c r="N68" s="14">
        <v>39900</v>
      </c>
      <c r="O68" s="14">
        <v>17325</v>
      </c>
      <c r="P68" s="14">
        <v>22600</v>
      </c>
      <c r="Q68" s="14">
        <v>22900</v>
      </c>
      <c r="R68" s="14">
        <v>24800</v>
      </c>
      <c r="S68" s="14">
        <v>38100</v>
      </c>
      <c r="T68" s="14">
        <f>47800-5717.88</f>
        <v>42082.12</v>
      </c>
      <c r="U68" s="100"/>
      <c r="V68" s="15">
        <f>SUM(I68:T68)</f>
        <v>312925</v>
      </c>
    </row>
    <row r="69" spans="1:22" ht="38.25">
      <c r="A69" s="56" t="s">
        <v>87</v>
      </c>
      <c r="B69" s="48" t="s">
        <v>158</v>
      </c>
      <c r="C69" s="23" t="s">
        <v>6</v>
      </c>
      <c r="D69" s="23">
        <v>5230100590</v>
      </c>
      <c r="E69" s="23">
        <v>244</v>
      </c>
      <c r="F69" s="23">
        <v>340</v>
      </c>
      <c r="G69" s="23"/>
      <c r="H69" s="24">
        <v>34400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17200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17200</v>
      </c>
      <c r="U69" s="100"/>
      <c r="V69" s="15">
        <f>SUM(I69:T69)</f>
        <v>34400</v>
      </c>
    </row>
    <row r="70" spans="1:22" ht="12.75">
      <c r="A70" s="56"/>
      <c r="B70" s="23"/>
      <c r="C70" s="28"/>
      <c r="D70" s="28"/>
      <c r="E70" s="28"/>
      <c r="F70" s="28"/>
      <c r="G70" s="2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00"/>
      <c r="V70" s="15"/>
    </row>
    <row r="71" spans="1:22" ht="63.75">
      <c r="A71" s="62" t="s">
        <v>87</v>
      </c>
      <c r="B71" s="90" t="s">
        <v>107</v>
      </c>
      <c r="C71" s="37" t="s">
        <v>6</v>
      </c>
      <c r="D71" s="37">
        <v>5300000000</v>
      </c>
      <c r="E71" s="35"/>
      <c r="F71" s="35"/>
      <c r="G71" s="41"/>
      <c r="H71" s="13">
        <f aca="true" t="shared" si="11" ref="H71:T71">H75+H78+H81</f>
        <v>504400</v>
      </c>
      <c r="I71" s="13">
        <f t="shared" si="11"/>
        <v>0</v>
      </c>
      <c r="J71" s="13">
        <f t="shared" si="11"/>
        <v>47144</v>
      </c>
      <c r="K71" s="13">
        <f t="shared" si="11"/>
        <v>35256</v>
      </c>
      <c r="L71" s="13">
        <f t="shared" si="11"/>
        <v>27144</v>
      </c>
      <c r="M71" s="13">
        <f t="shared" si="11"/>
        <v>35256</v>
      </c>
      <c r="N71" s="13">
        <f t="shared" si="11"/>
        <v>131200</v>
      </c>
      <c r="O71" s="13">
        <f t="shared" si="11"/>
        <v>34650</v>
      </c>
      <c r="P71" s="13">
        <f t="shared" si="11"/>
        <v>31200</v>
      </c>
      <c r="Q71" s="13">
        <f t="shared" si="11"/>
        <v>31200</v>
      </c>
      <c r="R71" s="13">
        <f t="shared" si="11"/>
        <v>62400</v>
      </c>
      <c r="S71" s="13">
        <f t="shared" si="11"/>
        <v>0</v>
      </c>
      <c r="T71" s="13">
        <f t="shared" si="11"/>
        <v>68950</v>
      </c>
      <c r="U71" s="101"/>
      <c r="V71" s="87">
        <f>SUM(I71:T71)</f>
        <v>504400</v>
      </c>
    </row>
    <row r="72" spans="1:22" ht="12.75" hidden="1">
      <c r="A72" s="56" t="s">
        <v>37</v>
      </c>
      <c r="B72" s="23" t="s">
        <v>14</v>
      </c>
      <c r="C72" s="28" t="s">
        <v>6</v>
      </c>
      <c r="D72" s="16">
        <v>5510110010</v>
      </c>
      <c r="E72" s="28">
        <v>244</v>
      </c>
      <c r="F72" s="28">
        <v>290</v>
      </c>
      <c r="G72" s="23" t="s">
        <v>50</v>
      </c>
      <c r="H72" s="2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00"/>
      <c r="V72" s="15">
        <f>SUM(I72:T72)</f>
        <v>0</v>
      </c>
    </row>
    <row r="73" spans="1:22" ht="12.75">
      <c r="A73" s="56"/>
      <c r="B73" s="23"/>
      <c r="C73" s="28"/>
      <c r="D73" s="16"/>
      <c r="E73" s="28"/>
      <c r="F73" s="28"/>
      <c r="G73" s="2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00"/>
      <c r="V73" s="15"/>
    </row>
    <row r="74" spans="1:22" ht="12.75" hidden="1">
      <c r="A74" s="60"/>
      <c r="B74" s="67"/>
      <c r="C74" s="16"/>
      <c r="D74" s="16"/>
      <c r="E74" s="16"/>
      <c r="F74" s="16"/>
      <c r="G74" s="10"/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00"/>
      <c r="V74" s="15">
        <f>SUM(I74:T74)</f>
        <v>0</v>
      </c>
    </row>
    <row r="75" spans="1:22" s="7" customFormat="1" ht="123" customHeight="1">
      <c r="A75" s="62" t="s">
        <v>87</v>
      </c>
      <c r="B75" s="90" t="s">
        <v>108</v>
      </c>
      <c r="C75" s="37" t="s">
        <v>6</v>
      </c>
      <c r="D75" s="37">
        <v>5310000000</v>
      </c>
      <c r="E75" s="37"/>
      <c r="F75" s="36"/>
      <c r="G75" s="37"/>
      <c r="H75" s="13">
        <f aca="true" t="shared" si="12" ref="H75:T75">H76</f>
        <v>374400</v>
      </c>
      <c r="I75" s="13">
        <f t="shared" si="12"/>
        <v>0</v>
      </c>
      <c r="J75" s="13">
        <f t="shared" si="12"/>
        <v>27144</v>
      </c>
      <c r="K75" s="13">
        <f t="shared" si="12"/>
        <v>35256</v>
      </c>
      <c r="L75" s="13">
        <f t="shared" si="12"/>
        <v>27144</v>
      </c>
      <c r="M75" s="13">
        <f t="shared" si="12"/>
        <v>35256</v>
      </c>
      <c r="N75" s="13">
        <f t="shared" si="12"/>
        <v>31200</v>
      </c>
      <c r="O75" s="13">
        <f t="shared" si="12"/>
        <v>31200</v>
      </c>
      <c r="P75" s="13">
        <f t="shared" si="12"/>
        <v>31200</v>
      </c>
      <c r="Q75" s="13">
        <f t="shared" si="12"/>
        <v>31200</v>
      </c>
      <c r="R75" s="13">
        <f t="shared" si="12"/>
        <v>62400</v>
      </c>
      <c r="S75" s="13">
        <f t="shared" si="12"/>
        <v>0</v>
      </c>
      <c r="T75" s="13">
        <f t="shared" si="12"/>
        <v>62400</v>
      </c>
      <c r="U75" s="101"/>
      <c r="V75" s="87">
        <f>SUM(I75:T75)</f>
        <v>374400</v>
      </c>
    </row>
    <row r="76" spans="1:22" ht="24.75" customHeight="1">
      <c r="A76" s="56" t="s">
        <v>87</v>
      </c>
      <c r="B76" s="48" t="s">
        <v>170</v>
      </c>
      <c r="C76" s="23" t="s">
        <v>6</v>
      </c>
      <c r="D76" s="10">
        <v>5310110020</v>
      </c>
      <c r="E76" s="10">
        <v>360</v>
      </c>
      <c r="F76" s="10">
        <v>296</v>
      </c>
      <c r="G76" s="10" t="s">
        <v>53</v>
      </c>
      <c r="H76" s="29">
        <v>374400</v>
      </c>
      <c r="I76" s="14">
        <v>0</v>
      </c>
      <c r="J76" s="14">
        <v>27144</v>
      </c>
      <c r="K76" s="14">
        <f>93600-31200-27144</f>
        <v>35256</v>
      </c>
      <c r="L76" s="14">
        <v>27144</v>
      </c>
      <c r="M76" s="14">
        <v>35256</v>
      </c>
      <c r="N76" s="14">
        <f>93600-27144-35256</f>
        <v>31200</v>
      </c>
      <c r="O76" s="14">
        <v>31200</v>
      </c>
      <c r="P76" s="14">
        <f>35256-4056</f>
        <v>31200</v>
      </c>
      <c r="Q76" s="14">
        <f>93600-62400</f>
        <v>31200</v>
      </c>
      <c r="R76" s="14">
        <f>4056+58344</f>
        <v>62400</v>
      </c>
      <c r="S76" s="14">
        <v>0</v>
      </c>
      <c r="T76" s="14">
        <v>62400</v>
      </c>
      <c r="U76" s="100"/>
      <c r="V76" s="15">
        <f>SUM(I76:T76)</f>
        <v>374400</v>
      </c>
    </row>
    <row r="77" spans="1:22" ht="12.75">
      <c r="A77" s="56"/>
      <c r="B77" s="23"/>
      <c r="C77" s="23"/>
      <c r="D77" s="23"/>
      <c r="E77" s="23"/>
      <c r="F77" s="28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103"/>
      <c r="V77" s="15"/>
    </row>
    <row r="78" spans="1:22" s="7" customFormat="1" ht="76.5">
      <c r="A78" s="62" t="s">
        <v>87</v>
      </c>
      <c r="B78" s="90" t="s">
        <v>109</v>
      </c>
      <c r="C78" s="37" t="s">
        <v>6</v>
      </c>
      <c r="D78" s="37">
        <v>5320000000</v>
      </c>
      <c r="E78" s="37"/>
      <c r="F78" s="37"/>
      <c r="G78" s="37"/>
      <c r="H78" s="13">
        <f aca="true" t="shared" si="13" ref="H78:T78">H80</f>
        <v>10000</v>
      </c>
      <c r="I78" s="13">
        <f t="shared" si="13"/>
        <v>0</v>
      </c>
      <c r="J78" s="13">
        <f t="shared" si="13"/>
        <v>0</v>
      </c>
      <c r="K78" s="13">
        <f t="shared" si="13"/>
        <v>0</v>
      </c>
      <c r="L78" s="13">
        <f t="shared" si="13"/>
        <v>0</v>
      </c>
      <c r="M78" s="13">
        <f t="shared" si="13"/>
        <v>0</v>
      </c>
      <c r="N78" s="13">
        <f t="shared" si="13"/>
        <v>0</v>
      </c>
      <c r="O78" s="13">
        <f t="shared" si="13"/>
        <v>3450</v>
      </c>
      <c r="P78" s="13">
        <f t="shared" si="13"/>
        <v>0</v>
      </c>
      <c r="Q78" s="13">
        <f t="shared" si="13"/>
        <v>0</v>
      </c>
      <c r="R78" s="13">
        <f t="shared" si="13"/>
        <v>0</v>
      </c>
      <c r="S78" s="13">
        <f t="shared" si="13"/>
        <v>0</v>
      </c>
      <c r="T78" s="13">
        <f t="shared" si="13"/>
        <v>6550</v>
      </c>
      <c r="U78" s="101"/>
      <c r="V78" s="87">
        <f>SUM(I78:T78)</f>
        <v>10000</v>
      </c>
    </row>
    <row r="79" spans="1:22" s="8" customFormat="1" ht="12.75">
      <c r="A79" s="64"/>
      <c r="B79" s="9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103"/>
      <c r="V79" s="39"/>
    </row>
    <row r="80" spans="1:22" ht="38.25">
      <c r="A80" s="56" t="s">
        <v>87</v>
      </c>
      <c r="B80" s="48" t="s">
        <v>158</v>
      </c>
      <c r="C80" s="23" t="s">
        <v>6</v>
      </c>
      <c r="D80" s="10">
        <v>5320110030</v>
      </c>
      <c r="E80" s="23">
        <v>244</v>
      </c>
      <c r="F80" s="23">
        <v>340</v>
      </c>
      <c r="G80" s="23"/>
      <c r="H80" s="29">
        <v>10000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3450</v>
      </c>
      <c r="P80" s="14">
        <v>0</v>
      </c>
      <c r="Q80" s="14">
        <v>0</v>
      </c>
      <c r="R80" s="14">
        <v>0</v>
      </c>
      <c r="S80" s="14">
        <v>0</v>
      </c>
      <c r="T80" s="14">
        <v>6550</v>
      </c>
      <c r="U80" s="100"/>
      <c r="V80" s="15">
        <f>SUM(I80:T80)</f>
        <v>10000</v>
      </c>
    </row>
    <row r="81" spans="1:22" s="7" customFormat="1" ht="76.5">
      <c r="A81" s="62" t="s">
        <v>87</v>
      </c>
      <c r="B81" s="90" t="s">
        <v>110</v>
      </c>
      <c r="C81" s="37" t="s">
        <v>6</v>
      </c>
      <c r="D81" s="37">
        <v>5330000000</v>
      </c>
      <c r="E81" s="37"/>
      <c r="F81" s="37"/>
      <c r="G81" s="37"/>
      <c r="H81" s="13">
        <f aca="true" t="shared" si="14" ref="H81:T81">H82</f>
        <v>120000</v>
      </c>
      <c r="I81" s="13">
        <f t="shared" si="14"/>
        <v>0</v>
      </c>
      <c r="J81" s="13">
        <f t="shared" si="14"/>
        <v>20000</v>
      </c>
      <c r="K81" s="13">
        <f t="shared" si="14"/>
        <v>0</v>
      </c>
      <c r="L81" s="13">
        <f t="shared" si="14"/>
        <v>0</v>
      </c>
      <c r="M81" s="13">
        <f t="shared" si="14"/>
        <v>0</v>
      </c>
      <c r="N81" s="13">
        <f t="shared" si="14"/>
        <v>100000</v>
      </c>
      <c r="O81" s="13">
        <f t="shared" si="14"/>
        <v>0</v>
      </c>
      <c r="P81" s="13">
        <f t="shared" si="14"/>
        <v>0</v>
      </c>
      <c r="Q81" s="13">
        <f t="shared" si="14"/>
        <v>0</v>
      </c>
      <c r="R81" s="13">
        <f t="shared" si="14"/>
        <v>0</v>
      </c>
      <c r="S81" s="13">
        <f t="shared" si="14"/>
        <v>0</v>
      </c>
      <c r="T81" s="13">
        <f t="shared" si="14"/>
        <v>0</v>
      </c>
      <c r="U81" s="101"/>
      <c r="V81" s="87">
        <f>SUM(I81:T81)</f>
        <v>120000</v>
      </c>
    </row>
    <row r="82" spans="1:22" ht="29.25" customHeight="1">
      <c r="A82" s="56" t="s">
        <v>87</v>
      </c>
      <c r="B82" s="48" t="s">
        <v>157</v>
      </c>
      <c r="C82" s="23" t="s">
        <v>6</v>
      </c>
      <c r="D82" s="10">
        <v>5330110040</v>
      </c>
      <c r="E82" s="23">
        <v>244</v>
      </c>
      <c r="F82" s="23">
        <v>226</v>
      </c>
      <c r="G82" s="23"/>
      <c r="H82" s="14">
        <v>120000</v>
      </c>
      <c r="I82" s="40">
        <v>0</v>
      </c>
      <c r="J82" s="40">
        <v>20000</v>
      </c>
      <c r="K82" s="40">
        <v>0</v>
      </c>
      <c r="L82" s="40">
        <v>0</v>
      </c>
      <c r="M82" s="40">
        <v>0</v>
      </c>
      <c r="N82" s="40">
        <v>100000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100"/>
      <c r="V82" s="15">
        <f>SUM(I82:T82)</f>
        <v>120000</v>
      </c>
    </row>
    <row r="83" spans="1:22" ht="12.75">
      <c r="A83" s="56"/>
      <c r="B83" s="23"/>
      <c r="C83" s="28"/>
      <c r="D83" s="16"/>
      <c r="E83" s="28"/>
      <c r="F83" s="28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103"/>
      <c r="V83" s="15"/>
    </row>
    <row r="84" spans="1:22" ht="71.25" customHeight="1">
      <c r="A84" s="62" t="s">
        <v>87</v>
      </c>
      <c r="B84" s="90" t="s">
        <v>111</v>
      </c>
      <c r="C84" s="37" t="s">
        <v>6</v>
      </c>
      <c r="D84" s="37">
        <v>5400000000</v>
      </c>
      <c r="E84" s="35"/>
      <c r="F84" s="35"/>
      <c r="G84" s="41"/>
      <c r="H84" s="13">
        <f aca="true" t="shared" si="15" ref="H84:T84">H86+H90</f>
        <v>481900</v>
      </c>
      <c r="I84" s="13">
        <f t="shared" si="15"/>
        <v>103402</v>
      </c>
      <c r="J84" s="13">
        <f t="shared" si="15"/>
        <v>33700</v>
      </c>
      <c r="K84" s="13">
        <f t="shared" si="15"/>
        <v>35150</v>
      </c>
      <c r="L84" s="13">
        <f t="shared" si="15"/>
        <v>35650</v>
      </c>
      <c r="M84" s="13">
        <f t="shared" si="15"/>
        <v>30650</v>
      </c>
      <c r="N84" s="13">
        <f t="shared" si="15"/>
        <v>47150</v>
      </c>
      <c r="O84" s="13">
        <f t="shared" si="15"/>
        <v>41150</v>
      </c>
      <c r="P84" s="13">
        <f t="shared" si="15"/>
        <v>35450</v>
      </c>
      <c r="Q84" s="13">
        <f t="shared" si="15"/>
        <v>31000</v>
      </c>
      <c r="R84" s="13">
        <f t="shared" si="15"/>
        <v>36300</v>
      </c>
      <c r="S84" s="13">
        <f t="shared" si="15"/>
        <v>30318</v>
      </c>
      <c r="T84" s="13">
        <f t="shared" si="15"/>
        <v>21980</v>
      </c>
      <c r="U84" s="101"/>
      <c r="V84" s="87">
        <f>SUM(I84:T84)</f>
        <v>481900</v>
      </c>
    </row>
    <row r="85" spans="1:22" ht="15" customHeight="1">
      <c r="A85" s="56"/>
      <c r="B85" s="23"/>
      <c r="C85" s="28"/>
      <c r="D85" s="16"/>
      <c r="E85" s="28"/>
      <c r="F85" s="28"/>
      <c r="G85" s="23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00"/>
      <c r="V85" s="15"/>
    </row>
    <row r="86" spans="1:22" s="7" customFormat="1" ht="98.25" customHeight="1">
      <c r="A86" s="62" t="s">
        <v>87</v>
      </c>
      <c r="B86" s="90" t="s">
        <v>171</v>
      </c>
      <c r="C86" s="37" t="s">
        <v>6</v>
      </c>
      <c r="D86" s="37">
        <v>5410000000</v>
      </c>
      <c r="E86" s="36"/>
      <c r="F86" s="36"/>
      <c r="G86" s="37"/>
      <c r="H86" s="13">
        <f aca="true" t="shared" si="16" ref="H86:T86">H87+H88+H89</f>
        <v>161200</v>
      </c>
      <c r="I86" s="13">
        <f t="shared" si="16"/>
        <v>63882</v>
      </c>
      <c r="J86" s="13">
        <f t="shared" si="16"/>
        <v>4000</v>
      </c>
      <c r="K86" s="13">
        <f t="shared" si="16"/>
        <v>15150</v>
      </c>
      <c r="L86" s="13">
        <f t="shared" si="16"/>
        <v>15150</v>
      </c>
      <c r="M86" s="13">
        <f t="shared" si="16"/>
        <v>5650</v>
      </c>
      <c r="N86" s="13">
        <f t="shared" si="16"/>
        <v>15150</v>
      </c>
      <c r="O86" s="13">
        <f t="shared" si="16"/>
        <v>15150</v>
      </c>
      <c r="P86" s="13">
        <f t="shared" si="16"/>
        <v>15450</v>
      </c>
      <c r="Q86" s="13">
        <f t="shared" si="16"/>
        <v>5000</v>
      </c>
      <c r="R86" s="13">
        <f t="shared" si="16"/>
        <v>6300</v>
      </c>
      <c r="S86" s="13">
        <f t="shared" si="16"/>
        <v>318</v>
      </c>
      <c r="T86" s="13">
        <f t="shared" si="16"/>
        <v>0</v>
      </c>
      <c r="U86" s="101"/>
      <c r="V86" s="87">
        <f aca="true" t="shared" si="17" ref="V86:V97">SUM(I86:T86)</f>
        <v>161200</v>
      </c>
    </row>
    <row r="87" spans="1:22" ht="35.25" customHeight="1">
      <c r="A87" s="56" t="s">
        <v>87</v>
      </c>
      <c r="B87" s="48" t="s">
        <v>157</v>
      </c>
      <c r="C87" s="10" t="s">
        <v>6</v>
      </c>
      <c r="D87" s="10">
        <v>5410110060</v>
      </c>
      <c r="E87" s="10">
        <v>244</v>
      </c>
      <c r="F87" s="10">
        <v>226</v>
      </c>
      <c r="G87" s="10"/>
      <c r="H87" s="24">
        <v>56000</v>
      </c>
      <c r="I87" s="14">
        <f>5882+5000</f>
        <v>10882</v>
      </c>
      <c r="J87" s="14">
        <f>4200-200</f>
        <v>4000</v>
      </c>
      <c r="K87" s="14">
        <v>5000</v>
      </c>
      <c r="L87" s="14">
        <v>5000</v>
      </c>
      <c r="M87" s="14">
        <v>5500</v>
      </c>
      <c r="N87" s="14">
        <v>5000</v>
      </c>
      <c r="O87" s="14">
        <v>5000</v>
      </c>
      <c r="P87" s="14">
        <v>5300</v>
      </c>
      <c r="Q87" s="14">
        <v>5000</v>
      </c>
      <c r="R87" s="14">
        <v>5000</v>
      </c>
      <c r="S87" s="14">
        <f>6000-5882+200</f>
        <v>318</v>
      </c>
      <c r="T87" s="14">
        <v>0</v>
      </c>
      <c r="U87" s="100"/>
      <c r="V87" s="15">
        <f t="shared" si="17"/>
        <v>56000</v>
      </c>
    </row>
    <row r="88" spans="1:22" ht="35.25" customHeight="1" hidden="1">
      <c r="A88" s="56" t="s">
        <v>87</v>
      </c>
      <c r="B88" s="48" t="s">
        <v>173</v>
      </c>
      <c r="C88" s="10" t="s">
        <v>6</v>
      </c>
      <c r="D88" s="10">
        <v>5410110060</v>
      </c>
      <c r="E88" s="10">
        <v>244</v>
      </c>
      <c r="F88" s="10">
        <v>310</v>
      </c>
      <c r="G88" s="10"/>
      <c r="H88" s="2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00"/>
      <c r="V88" s="15">
        <f t="shared" si="17"/>
        <v>0</v>
      </c>
    </row>
    <row r="89" spans="1:22" ht="41.25" customHeight="1">
      <c r="A89" s="56" t="s">
        <v>87</v>
      </c>
      <c r="B89" s="48" t="s">
        <v>158</v>
      </c>
      <c r="C89" s="10" t="s">
        <v>6</v>
      </c>
      <c r="D89" s="10">
        <v>5410110060</v>
      </c>
      <c r="E89" s="10">
        <v>244</v>
      </c>
      <c r="F89" s="10">
        <v>340</v>
      </c>
      <c r="G89" s="10"/>
      <c r="H89" s="24">
        <v>105200</v>
      </c>
      <c r="I89" s="14">
        <v>53000</v>
      </c>
      <c r="J89" s="14">
        <v>0</v>
      </c>
      <c r="K89" s="14">
        <v>10150</v>
      </c>
      <c r="L89" s="14">
        <v>10150</v>
      </c>
      <c r="M89" s="14">
        <v>150</v>
      </c>
      <c r="N89" s="14">
        <v>10150</v>
      </c>
      <c r="O89" s="14">
        <v>10150</v>
      </c>
      <c r="P89" s="14">
        <v>10150</v>
      </c>
      <c r="Q89" s="14">
        <v>0</v>
      </c>
      <c r="R89" s="14">
        <f>8850-7550</f>
        <v>1300</v>
      </c>
      <c r="S89" s="14">
        <v>0</v>
      </c>
      <c r="T89" s="14">
        <v>0</v>
      </c>
      <c r="U89" s="100"/>
      <c r="V89" s="15">
        <f t="shared" si="17"/>
        <v>105200</v>
      </c>
    </row>
    <row r="90" spans="1:22" s="7" customFormat="1" ht="86.25" customHeight="1">
      <c r="A90" s="62" t="s">
        <v>87</v>
      </c>
      <c r="B90" s="90" t="s">
        <v>172</v>
      </c>
      <c r="C90" s="37" t="s">
        <v>6</v>
      </c>
      <c r="D90" s="37">
        <v>5420000000</v>
      </c>
      <c r="E90" s="37"/>
      <c r="F90" s="37"/>
      <c r="G90" s="37"/>
      <c r="H90" s="13">
        <f aca="true" t="shared" si="18" ref="H90:T90">H91</f>
        <v>320700</v>
      </c>
      <c r="I90" s="13">
        <f t="shared" si="18"/>
        <v>39520</v>
      </c>
      <c r="J90" s="13">
        <f t="shared" si="18"/>
        <v>29700</v>
      </c>
      <c r="K90" s="13">
        <f t="shared" si="18"/>
        <v>20000</v>
      </c>
      <c r="L90" s="13">
        <f t="shared" si="18"/>
        <v>20500</v>
      </c>
      <c r="M90" s="13">
        <f t="shared" si="18"/>
        <v>25000</v>
      </c>
      <c r="N90" s="13">
        <f t="shared" si="18"/>
        <v>32000</v>
      </c>
      <c r="O90" s="13">
        <f t="shared" si="18"/>
        <v>26000</v>
      </c>
      <c r="P90" s="13">
        <f t="shared" si="18"/>
        <v>20000</v>
      </c>
      <c r="Q90" s="13">
        <f t="shared" si="18"/>
        <v>26000</v>
      </c>
      <c r="R90" s="13">
        <f t="shared" si="18"/>
        <v>30000</v>
      </c>
      <c r="S90" s="13">
        <f t="shared" si="18"/>
        <v>30000</v>
      </c>
      <c r="T90" s="13">
        <f t="shared" si="18"/>
        <v>21980</v>
      </c>
      <c r="U90" s="101"/>
      <c r="V90" s="87">
        <f t="shared" si="17"/>
        <v>320700</v>
      </c>
    </row>
    <row r="91" spans="1:22" ht="25.5" customHeight="1">
      <c r="A91" s="56" t="s">
        <v>87</v>
      </c>
      <c r="B91" s="48" t="s">
        <v>157</v>
      </c>
      <c r="C91" s="10" t="s">
        <v>6</v>
      </c>
      <c r="D91" s="10">
        <v>5420110070</v>
      </c>
      <c r="E91" s="10">
        <v>244</v>
      </c>
      <c r="F91" s="10">
        <v>226</v>
      </c>
      <c r="G91" s="10"/>
      <c r="H91" s="29">
        <v>320700</v>
      </c>
      <c r="I91" s="14">
        <f>15000+24520</f>
        <v>39520</v>
      </c>
      <c r="J91" s="14">
        <f>20000+9700</f>
        <v>29700</v>
      </c>
      <c r="K91" s="14">
        <v>20000</v>
      </c>
      <c r="L91" s="14">
        <v>20500</v>
      </c>
      <c r="M91" s="14">
        <v>25000</v>
      </c>
      <c r="N91" s="14">
        <v>32000</v>
      </c>
      <c r="O91" s="14">
        <v>26000</v>
      </c>
      <c r="P91" s="14">
        <v>20000</v>
      </c>
      <c r="Q91" s="14">
        <v>26000</v>
      </c>
      <c r="R91" s="14">
        <v>30000</v>
      </c>
      <c r="S91" s="14">
        <v>30000</v>
      </c>
      <c r="T91" s="14">
        <f>56200-24520-9700</f>
        <v>21980</v>
      </c>
      <c r="U91" s="100"/>
      <c r="V91" s="15">
        <f t="shared" si="17"/>
        <v>320700</v>
      </c>
    </row>
    <row r="92" spans="1:22" ht="15" customHeight="1">
      <c r="A92" s="60"/>
      <c r="B92" s="67"/>
      <c r="C92" s="12"/>
      <c r="D92" s="12"/>
      <c r="E92" s="16"/>
      <c r="F92" s="16"/>
      <c r="G92" s="10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00"/>
      <c r="V92" s="15">
        <f t="shared" si="17"/>
        <v>0</v>
      </c>
    </row>
    <row r="93" spans="1:22" ht="98.25" customHeight="1">
      <c r="A93" s="62" t="s">
        <v>87</v>
      </c>
      <c r="B93" s="90" t="s">
        <v>112</v>
      </c>
      <c r="C93" s="37" t="s">
        <v>6</v>
      </c>
      <c r="D93" s="37">
        <v>5500000000</v>
      </c>
      <c r="E93" s="41"/>
      <c r="F93" s="41"/>
      <c r="G93" s="41"/>
      <c r="H93" s="13">
        <f aca="true" t="shared" si="19" ref="H93:T93">H94</f>
        <v>100000</v>
      </c>
      <c r="I93" s="13">
        <f t="shared" si="19"/>
        <v>6830</v>
      </c>
      <c r="J93" s="13">
        <f t="shared" si="19"/>
        <v>0</v>
      </c>
      <c r="K93" s="13">
        <f t="shared" si="19"/>
        <v>10076</v>
      </c>
      <c r="L93" s="13">
        <f t="shared" si="19"/>
        <v>8000</v>
      </c>
      <c r="M93" s="13">
        <f t="shared" si="19"/>
        <v>0</v>
      </c>
      <c r="N93" s="13">
        <f t="shared" si="19"/>
        <v>27000</v>
      </c>
      <c r="O93" s="13">
        <f t="shared" si="19"/>
        <v>0</v>
      </c>
      <c r="P93" s="13">
        <f t="shared" si="19"/>
        <v>0</v>
      </c>
      <c r="Q93" s="13">
        <f t="shared" si="19"/>
        <v>13800</v>
      </c>
      <c r="R93" s="13">
        <f t="shared" si="19"/>
        <v>10540</v>
      </c>
      <c r="S93" s="13">
        <f t="shared" si="19"/>
        <v>0</v>
      </c>
      <c r="T93" s="13">
        <f t="shared" si="19"/>
        <v>23754</v>
      </c>
      <c r="U93" s="101"/>
      <c r="V93" s="87">
        <f t="shared" si="17"/>
        <v>100000</v>
      </c>
    </row>
    <row r="94" spans="1:22" ht="43.5" customHeight="1">
      <c r="A94" s="56" t="s">
        <v>87</v>
      </c>
      <c r="B94" s="48" t="s">
        <v>158</v>
      </c>
      <c r="C94" s="10" t="s">
        <v>6</v>
      </c>
      <c r="D94" s="10">
        <v>5510110930</v>
      </c>
      <c r="E94" s="10">
        <v>244</v>
      </c>
      <c r="F94" s="10">
        <v>290</v>
      </c>
      <c r="G94" s="10"/>
      <c r="H94" s="14">
        <v>100000</v>
      </c>
      <c r="I94" s="14">
        <v>6830</v>
      </c>
      <c r="J94" s="14">
        <v>0</v>
      </c>
      <c r="K94" s="14">
        <f>10000+6906-6830</f>
        <v>10076</v>
      </c>
      <c r="L94" s="14">
        <f>10000-2000</f>
        <v>8000</v>
      </c>
      <c r="M94" s="14">
        <v>0</v>
      </c>
      <c r="N94" s="14">
        <f>48434-21434</f>
        <v>27000</v>
      </c>
      <c r="O94" s="14">
        <v>0</v>
      </c>
      <c r="P94" s="14">
        <v>0</v>
      </c>
      <c r="Q94" s="14">
        <v>13800</v>
      </c>
      <c r="R94" s="14">
        <f>10000+2000-1460</f>
        <v>10540</v>
      </c>
      <c r="S94" s="14">
        <v>0</v>
      </c>
      <c r="T94" s="14">
        <v>23754</v>
      </c>
      <c r="U94" s="100"/>
      <c r="V94" s="15">
        <f t="shared" si="17"/>
        <v>100000</v>
      </c>
    </row>
    <row r="95" spans="1:22" ht="15" customHeight="1">
      <c r="A95" s="60"/>
      <c r="B95" s="67"/>
      <c r="C95" s="12"/>
      <c r="D95" s="12"/>
      <c r="E95" s="16"/>
      <c r="F95" s="16"/>
      <c r="G95" s="10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00"/>
      <c r="V95" s="15">
        <f t="shared" si="17"/>
        <v>0</v>
      </c>
    </row>
    <row r="96" spans="1:22" ht="96" customHeight="1">
      <c r="A96" s="62" t="s">
        <v>87</v>
      </c>
      <c r="B96" s="90" t="s">
        <v>113</v>
      </c>
      <c r="C96" s="37" t="s">
        <v>6</v>
      </c>
      <c r="D96" s="37">
        <v>5600000000</v>
      </c>
      <c r="E96" s="41"/>
      <c r="F96" s="41"/>
      <c r="G96" s="41"/>
      <c r="H96" s="13">
        <f aca="true" t="shared" si="20" ref="H96:T96">H97</f>
        <v>20000</v>
      </c>
      <c r="I96" s="13">
        <f t="shared" si="20"/>
        <v>0</v>
      </c>
      <c r="J96" s="13">
        <f t="shared" si="20"/>
        <v>0</v>
      </c>
      <c r="K96" s="13">
        <f t="shared" si="20"/>
        <v>0</v>
      </c>
      <c r="L96" s="13">
        <f t="shared" si="20"/>
        <v>0</v>
      </c>
      <c r="M96" s="13">
        <f t="shared" si="20"/>
        <v>0</v>
      </c>
      <c r="N96" s="13">
        <f t="shared" si="20"/>
        <v>0</v>
      </c>
      <c r="O96" s="13">
        <f t="shared" si="20"/>
        <v>0</v>
      </c>
      <c r="P96" s="13">
        <f t="shared" si="20"/>
        <v>0</v>
      </c>
      <c r="Q96" s="13">
        <f t="shared" si="20"/>
        <v>0</v>
      </c>
      <c r="R96" s="13">
        <f t="shared" si="20"/>
        <v>0</v>
      </c>
      <c r="S96" s="13">
        <f t="shared" si="20"/>
        <v>0</v>
      </c>
      <c r="T96" s="13">
        <f t="shared" si="20"/>
        <v>20000</v>
      </c>
      <c r="U96" s="101"/>
      <c r="V96" s="87">
        <f t="shared" si="17"/>
        <v>20000</v>
      </c>
    </row>
    <row r="97" spans="1:22" ht="33" customHeight="1">
      <c r="A97" s="56" t="s">
        <v>87</v>
      </c>
      <c r="B97" s="48" t="s">
        <v>157</v>
      </c>
      <c r="C97" s="10" t="s">
        <v>6</v>
      </c>
      <c r="D97" s="78" t="s">
        <v>142</v>
      </c>
      <c r="E97" s="10">
        <v>244</v>
      </c>
      <c r="F97" s="10">
        <v>290</v>
      </c>
      <c r="G97" s="10"/>
      <c r="H97" s="29">
        <v>20000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20000</v>
      </c>
      <c r="U97" s="100"/>
      <c r="V97" s="15">
        <f t="shared" si="17"/>
        <v>20000</v>
      </c>
    </row>
    <row r="98" spans="1:22" ht="15" customHeight="1">
      <c r="A98" s="56"/>
      <c r="B98" s="23"/>
      <c r="C98" s="10"/>
      <c r="D98" s="10"/>
      <c r="E98" s="10"/>
      <c r="F98" s="10"/>
      <c r="G98" s="10"/>
      <c r="H98" s="29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00"/>
      <c r="V98" s="15"/>
    </row>
    <row r="99" spans="1:22" s="85" customFormat="1" ht="142.5" customHeight="1">
      <c r="A99" s="62" t="s">
        <v>87</v>
      </c>
      <c r="B99" s="90" t="s">
        <v>192</v>
      </c>
      <c r="C99" s="37" t="s">
        <v>6</v>
      </c>
      <c r="D99" s="84" t="s">
        <v>148</v>
      </c>
      <c r="E99" s="37">
        <v>540</v>
      </c>
      <c r="F99" s="36"/>
      <c r="G99" s="37"/>
      <c r="H99" s="13">
        <v>31300</v>
      </c>
      <c r="I99" s="13">
        <v>0</v>
      </c>
      <c r="J99" s="13">
        <f>6375+1450</f>
        <v>7825</v>
      </c>
      <c r="K99" s="13">
        <v>0</v>
      </c>
      <c r="L99" s="13">
        <f>6375+1900</f>
        <v>8275</v>
      </c>
      <c r="M99" s="13">
        <v>0</v>
      </c>
      <c r="N99" s="13">
        <v>0</v>
      </c>
      <c r="O99" s="13">
        <f>6375+8275-1450</f>
        <v>13200</v>
      </c>
      <c r="P99" s="13">
        <v>0</v>
      </c>
      <c r="Q99" s="13">
        <v>0</v>
      </c>
      <c r="R99" s="13">
        <v>0</v>
      </c>
      <c r="S99" s="13">
        <v>0</v>
      </c>
      <c r="T99" s="13">
        <v>2000</v>
      </c>
      <c r="U99" s="101"/>
      <c r="V99" s="87">
        <f>SUM(I99:T99)</f>
        <v>31300</v>
      </c>
    </row>
    <row r="100" spans="1:22" s="85" customFormat="1" ht="15" customHeight="1">
      <c r="A100" s="116"/>
      <c r="B100" s="67"/>
      <c r="C100" s="31"/>
      <c r="D100" s="115"/>
      <c r="E100" s="31"/>
      <c r="F100" s="12"/>
      <c r="G100" s="31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101"/>
      <c r="V100" s="77"/>
    </row>
    <row r="101" spans="1:22" s="85" customFormat="1" ht="57.75" customHeight="1" hidden="1">
      <c r="A101" s="62" t="s">
        <v>87</v>
      </c>
      <c r="B101" s="90" t="s">
        <v>204</v>
      </c>
      <c r="C101" s="37" t="s">
        <v>6</v>
      </c>
      <c r="D101" s="84" t="s">
        <v>199</v>
      </c>
      <c r="E101" s="37">
        <v>853</v>
      </c>
      <c r="F101" s="36"/>
      <c r="G101" s="37"/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01"/>
      <c r="V101" s="87">
        <f>I101+J101+K101+L101+M101+N101+O101+P101+Q101+R101+S101+T101</f>
        <v>0</v>
      </c>
    </row>
    <row r="102" spans="1:22" ht="12.75">
      <c r="A102" s="56"/>
      <c r="B102" s="23"/>
      <c r="C102" s="16"/>
      <c r="D102" s="16"/>
      <c r="E102" s="16"/>
      <c r="F102" s="16"/>
      <c r="G102" s="10"/>
      <c r="H102" s="29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00"/>
      <c r="V102" s="15"/>
    </row>
    <row r="103" spans="1:22" ht="12.75">
      <c r="A103" s="56"/>
      <c r="B103" s="25" t="s">
        <v>45</v>
      </c>
      <c r="C103" s="25" t="s">
        <v>6</v>
      </c>
      <c r="D103" s="16"/>
      <c r="E103" s="16"/>
      <c r="F103" s="16"/>
      <c r="G103" s="10"/>
      <c r="H103" s="30">
        <f aca="true" t="shared" si="21" ref="H103:T103">H96+H93+H84+H71+H46+H44+H99+H101</f>
        <v>15496154</v>
      </c>
      <c r="I103" s="30">
        <f t="shared" si="21"/>
        <v>774946.3</v>
      </c>
      <c r="J103" s="30">
        <f t="shared" si="21"/>
        <v>1415845.7899999998</v>
      </c>
      <c r="K103" s="30">
        <f t="shared" si="21"/>
        <v>1097965.63</v>
      </c>
      <c r="L103" s="30">
        <f t="shared" si="21"/>
        <v>1367273.7</v>
      </c>
      <c r="M103" s="30">
        <f t="shared" si="21"/>
        <v>1164392.37</v>
      </c>
      <c r="N103" s="30">
        <f t="shared" si="21"/>
        <v>1417952.49</v>
      </c>
      <c r="O103" s="30">
        <f t="shared" si="21"/>
        <v>1193880.55</v>
      </c>
      <c r="P103" s="30">
        <f t="shared" si="21"/>
        <v>1263330.77</v>
      </c>
      <c r="Q103" s="30">
        <f t="shared" si="21"/>
        <v>1242899.35</v>
      </c>
      <c r="R103" s="30">
        <f t="shared" si="21"/>
        <v>1398402.46</v>
      </c>
      <c r="S103" s="30">
        <f t="shared" si="21"/>
        <v>1333990.4300000002</v>
      </c>
      <c r="T103" s="30">
        <f t="shared" si="21"/>
        <v>1825274.1600000001</v>
      </c>
      <c r="U103" s="97"/>
      <c r="V103" s="97">
        <f>V96+V93+V84+V71+V46+V99+V101</f>
        <v>15496154</v>
      </c>
    </row>
    <row r="104" spans="1:22" ht="12.75">
      <c r="A104" s="56"/>
      <c r="B104" s="25"/>
      <c r="C104" s="25"/>
      <c r="D104" s="16"/>
      <c r="E104" s="16"/>
      <c r="F104" s="16"/>
      <c r="G104" s="1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97"/>
      <c r="V104" s="97"/>
    </row>
    <row r="105" spans="1:22" ht="26.25" customHeight="1">
      <c r="A105" s="66"/>
      <c r="B105" s="92" t="s">
        <v>54</v>
      </c>
      <c r="C105" s="68"/>
      <c r="D105" s="68"/>
      <c r="E105" s="68"/>
      <c r="F105" s="68"/>
      <c r="G105" s="92"/>
      <c r="H105" s="42">
        <f aca="true" t="shared" si="22" ref="H105:T105">H103+H43+H39+H34+H12</f>
        <v>25466119</v>
      </c>
      <c r="I105" s="42">
        <f t="shared" si="22"/>
        <v>1122810.6500000001</v>
      </c>
      <c r="J105" s="42">
        <f t="shared" si="22"/>
        <v>2302903.29</v>
      </c>
      <c r="K105" s="42">
        <f t="shared" si="22"/>
        <v>1852679.16</v>
      </c>
      <c r="L105" s="42">
        <f t="shared" si="22"/>
        <v>2104828.9099999997</v>
      </c>
      <c r="M105" s="42">
        <f t="shared" si="22"/>
        <v>1839163.6300000001</v>
      </c>
      <c r="N105" s="42">
        <f t="shared" si="22"/>
        <v>2125790.52</v>
      </c>
      <c r="O105" s="42">
        <f t="shared" si="22"/>
        <v>2186338.5</v>
      </c>
      <c r="P105" s="42">
        <f t="shared" si="22"/>
        <v>1938665.7100000002</v>
      </c>
      <c r="Q105" s="42">
        <f t="shared" si="22"/>
        <v>2132215.74</v>
      </c>
      <c r="R105" s="42">
        <f t="shared" si="22"/>
        <v>2281028.03</v>
      </c>
      <c r="S105" s="42">
        <f t="shared" si="22"/>
        <v>2359913.9800000004</v>
      </c>
      <c r="T105" s="42">
        <f t="shared" si="22"/>
        <v>3219780.8800000004</v>
      </c>
      <c r="U105" s="54"/>
      <c r="V105" s="98">
        <f>V103+V43+V39+V34+V12</f>
        <v>25466119</v>
      </c>
    </row>
    <row r="106" spans="1:22" ht="12.75">
      <c r="A106" s="60"/>
      <c r="B106" s="43"/>
      <c r="C106" s="12"/>
      <c r="D106" s="12"/>
      <c r="E106" s="12"/>
      <c r="F106" s="12"/>
      <c r="G106" s="4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103"/>
      <c r="V106" s="15"/>
    </row>
    <row r="107" spans="1:22" ht="51.75" customHeight="1">
      <c r="A107" s="62" t="s">
        <v>87</v>
      </c>
      <c r="B107" s="90" t="s">
        <v>55</v>
      </c>
      <c r="C107" s="37" t="s">
        <v>18</v>
      </c>
      <c r="D107" s="37">
        <v>8600000000</v>
      </c>
      <c r="E107" s="36"/>
      <c r="F107" s="36"/>
      <c r="G107" s="31"/>
      <c r="H107" s="13">
        <f aca="true" t="shared" si="23" ref="H107:T107">H108+H109</f>
        <v>593100</v>
      </c>
      <c r="I107" s="13">
        <f t="shared" si="23"/>
        <v>11052.32</v>
      </c>
      <c r="J107" s="13">
        <f t="shared" si="23"/>
        <v>49945.03</v>
      </c>
      <c r="K107" s="13">
        <f t="shared" si="23"/>
        <v>65630</v>
      </c>
      <c r="L107" s="13">
        <f t="shared" si="23"/>
        <v>43500</v>
      </c>
      <c r="M107" s="13">
        <f t="shared" si="23"/>
        <v>39700</v>
      </c>
      <c r="N107" s="13">
        <f t="shared" si="23"/>
        <v>70100</v>
      </c>
      <c r="O107" s="13">
        <f t="shared" si="23"/>
        <v>43500</v>
      </c>
      <c r="P107" s="13">
        <f t="shared" si="23"/>
        <v>47000</v>
      </c>
      <c r="Q107" s="13">
        <f t="shared" si="23"/>
        <v>68000</v>
      </c>
      <c r="R107" s="13">
        <f t="shared" si="23"/>
        <v>45500</v>
      </c>
      <c r="S107" s="13">
        <f t="shared" si="23"/>
        <v>46024.09</v>
      </c>
      <c r="T107" s="13">
        <f t="shared" si="23"/>
        <v>63148.56</v>
      </c>
      <c r="U107" s="101"/>
      <c r="V107" s="87">
        <f aca="true" t="shared" si="24" ref="V107:V126">SUM(I107:T107)</f>
        <v>593100</v>
      </c>
    </row>
    <row r="108" spans="1:22" ht="51" customHeight="1">
      <c r="A108" s="56" t="s">
        <v>87</v>
      </c>
      <c r="B108" s="48" t="s">
        <v>155</v>
      </c>
      <c r="C108" s="10" t="s">
        <v>18</v>
      </c>
      <c r="D108" s="78" t="s">
        <v>143</v>
      </c>
      <c r="E108" s="10">
        <v>121</v>
      </c>
      <c r="F108" s="10">
        <v>211</v>
      </c>
      <c r="G108" s="10" t="s">
        <v>56</v>
      </c>
      <c r="H108" s="24">
        <v>455530</v>
      </c>
      <c r="I108" s="14">
        <f>14100-3047.68</f>
        <v>11052.32</v>
      </c>
      <c r="J108" s="14">
        <f>28500+3047.68+18321.44</f>
        <v>49869.119999999995</v>
      </c>
      <c r="K108" s="14">
        <v>47130</v>
      </c>
      <c r="L108" s="14">
        <v>34000</v>
      </c>
      <c r="M108" s="14">
        <v>30200</v>
      </c>
      <c r="N108" s="14">
        <v>49800</v>
      </c>
      <c r="O108" s="14">
        <v>36500</v>
      </c>
      <c r="P108" s="14">
        <v>37500</v>
      </c>
      <c r="Q108" s="14">
        <v>50000</v>
      </c>
      <c r="R108" s="14">
        <v>36500</v>
      </c>
      <c r="S108" s="14">
        <v>30800</v>
      </c>
      <c r="T108" s="14">
        <f>60500-18321.44</f>
        <v>42178.56</v>
      </c>
      <c r="U108" s="100"/>
      <c r="V108" s="15">
        <f t="shared" si="24"/>
        <v>455530</v>
      </c>
    </row>
    <row r="109" spans="1:22" ht="92.25" customHeight="1">
      <c r="A109" s="56" t="s">
        <v>87</v>
      </c>
      <c r="B109" s="48" t="s">
        <v>156</v>
      </c>
      <c r="C109" s="10" t="s">
        <v>18</v>
      </c>
      <c r="D109" s="78" t="s">
        <v>143</v>
      </c>
      <c r="E109" s="10">
        <v>129</v>
      </c>
      <c r="F109" s="10">
        <v>211</v>
      </c>
      <c r="G109" s="63" t="s">
        <v>57</v>
      </c>
      <c r="H109" s="24">
        <v>137570</v>
      </c>
      <c r="I109" s="14">
        <v>0</v>
      </c>
      <c r="J109" s="14">
        <f>10000-9924.09</f>
        <v>75.90999999999985</v>
      </c>
      <c r="K109" s="14">
        <v>18500</v>
      </c>
      <c r="L109" s="14">
        <v>9500</v>
      </c>
      <c r="M109" s="14">
        <v>9500</v>
      </c>
      <c r="N109" s="14">
        <v>20300</v>
      </c>
      <c r="O109" s="14">
        <v>7000</v>
      </c>
      <c r="P109" s="14">
        <v>9500</v>
      </c>
      <c r="Q109" s="14">
        <v>18000</v>
      </c>
      <c r="R109" s="14">
        <v>9000</v>
      </c>
      <c r="S109" s="14">
        <f>5300+9924.09</f>
        <v>15224.09</v>
      </c>
      <c r="T109" s="14">
        <v>20970</v>
      </c>
      <c r="U109" s="100"/>
      <c r="V109" s="15">
        <f t="shared" si="24"/>
        <v>137570</v>
      </c>
    </row>
    <row r="110" spans="1:22" ht="12.75">
      <c r="A110" s="60"/>
      <c r="B110" s="31"/>
      <c r="C110" s="16"/>
      <c r="D110" s="16"/>
      <c r="E110" s="16"/>
      <c r="F110" s="16"/>
      <c r="G110" s="10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00"/>
      <c r="V110" s="15">
        <f t="shared" si="24"/>
        <v>0</v>
      </c>
    </row>
    <row r="111" spans="1:22" s="3" customFormat="1" ht="12.75">
      <c r="A111" s="60"/>
      <c r="B111" s="61" t="s">
        <v>45</v>
      </c>
      <c r="C111" s="61" t="s">
        <v>18</v>
      </c>
      <c r="D111" s="16"/>
      <c r="E111" s="16"/>
      <c r="F111" s="16"/>
      <c r="G111" s="10"/>
      <c r="H111" s="30">
        <f aca="true" t="shared" si="25" ref="H111:T111">H107</f>
        <v>593100</v>
      </c>
      <c r="I111" s="30">
        <f t="shared" si="25"/>
        <v>11052.32</v>
      </c>
      <c r="J111" s="30">
        <f t="shared" si="25"/>
        <v>49945.03</v>
      </c>
      <c r="K111" s="30">
        <f t="shared" si="25"/>
        <v>65630</v>
      </c>
      <c r="L111" s="30">
        <f t="shared" si="25"/>
        <v>43500</v>
      </c>
      <c r="M111" s="30">
        <f t="shared" si="25"/>
        <v>39700</v>
      </c>
      <c r="N111" s="30">
        <f t="shared" si="25"/>
        <v>70100</v>
      </c>
      <c r="O111" s="30">
        <f t="shared" si="25"/>
        <v>43500</v>
      </c>
      <c r="P111" s="30">
        <f t="shared" si="25"/>
        <v>47000</v>
      </c>
      <c r="Q111" s="30">
        <f t="shared" si="25"/>
        <v>68000</v>
      </c>
      <c r="R111" s="30">
        <f t="shared" si="25"/>
        <v>45500</v>
      </c>
      <c r="S111" s="30">
        <f t="shared" si="25"/>
        <v>46024.09</v>
      </c>
      <c r="T111" s="30">
        <f t="shared" si="25"/>
        <v>63148.56</v>
      </c>
      <c r="U111" s="102"/>
      <c r="V111" s="86">
        <f t="shared" si="24"/>
        <v>593100</v>
      </c>
    </row>
    <row r="112" spans="1:22" ht="12.75">
      <c r="A112" s="60"/>
      <c r="B112" s="31"/>
      <c r="C112" s="16"/>
      <c r="D112" s="16"/>
      <c r="E112" s="16"/>
      <c r="F112" s="16"/>
      <c r="G112" s="10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00"/>
      <c r="V112" s="15">
        <f t="shared" si="24"/>
        <v>0</v>
      </c>
    </row>
    <row r="113" spans="1:22" ht="12.75">
      <c r="A113" s="66"/>
      <c r="B113" s="92" t="s">
        <v>58</v>
      </c>
      <c r="C113" s="44"/>
      <c r="D113" s="44"/>
      <c r="E113" s="44"/>
      <c r="F113" s="44"/>
      <c r="G113" s="45"/>
      <c r="H113" s="42">
        <f aca="true" t="shared" si="26" ref="H113:T113">H111</f>
        <v>593100</v>
      </c>
      <c r="I113" s="42">
        <f t="shared" si="26"/>
        <v>11052.32</v>
      </c>
      <c r="J113" s="42">
        <f t="shared" si="26"/>
        <v>49945.03</v>
      </c>
      <c r="K113" s="42">
        <f t="shared" si="26"/>
        <v>65630</v>
      </c>
      <c r="L113" s="42">
        <f t="shared" si="26"/>
        <v>43500</v>
      </c>
      <c r="M113" s="42">
        <f t="shared" si="26"/>
        <v>39700</v>
      </c>
      <c r="N113" s="42">
        <f t="shared" si="26"/>
        <v>70100</v>
      </c>
      <c r="O113" s="42">
        <f t="shared" si="26"/>
        <v>43500</v>
      </c>
      <c r="P113" s="42">
        <f t="shared" si="26"/>
        <v>47000</v>
      </c>
      <c r="Q113" s="42">
        <f t="shared" si="26"/>
        <v>68000</v>
      </c>
      <c r="R113" s="42">
        <f t="shared" si="26"/>
        <v>45500</v>
      </c>
      <c r="S113" s="42">
        <f t="shared" si="26"/>
        <v>46024.09</v>
      </c>
      <c r="T113" s="42">
        <f t="shared" si="26"/>
        <v>63148.56</v>
      </c>
      <c r="U113" s="104"/>
      <c r="V113" s="46">
        <f t="shared" si="24"/>
        <v>593100</v>
      </c>
    </row>
    <row r="114" spans="1:22" ht="12.75">
      <c r="A114" s="60"/>
      <c r="B114" s="43"/>
      <c r="C114" s="16"/>
      <c r="D114" s="16"/>
      <c r="E114" s="16"/>
      <c r="F114" s="16"/>
      <c r="G114" s="10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00"/>
      <c r="V114" s="15">
        <f t="shared" si="24"/>
        <v>0</v>
      </c>
    </row>
    <row r="115" spans="1:22" ht="79.5" customHeight="1">
      <c r="A115" s="62" t="s">
        <v>87</v>
      </c>
      <c r="B115" s="90" t="s">
        <v>114</v>
      </c>
      <c r="C115" s="37"/>
      <c r="D115" s="37">
        <v>5700000000</v>
      </c>
      <c r="E115" s="36"/>
      <c r="F115" s="36"/>
      <c r="G115" s="37"/>
      <c r="H115" s="13">
        <f aca="true" t="shared" si="27" ref="H115:T115">H117+H122+H125</f>
        <v>290900</v>
      </c>
      <c r="I115" s="13">
        <f t="shared" si="27"/>
        <v>0</v>
      </c>
      <c r="J115" s="13">
        <f t="shared" si="27"/>
        <v>8874</v>
      </c>
      <c r="K115" s="13">
        <f t="shared" si="27"/>
        <v>11526</v>
      </c>
      <c r="L115" s="13">
        <f t="shared" si="27"/>
        <v>8874</v>
      </c>
      <c r="M115" s="13">
        <f t="shared" si="27"/>
        <v>70026</v>
      </c>
      <c r="N115" s="13">
        <f t="shared" si="27"/>
        <v>10200</v>
      </c>
      <c r="O115" s="13">
        <f t="shared" si="27"/>
        <v>10200</v>
      </c>
      <c r="P115" s="13">
        <f t="shared" si="27"/>
        <v>10200</v>
      </c>
      <c r="Q115" s="13">
        <f t="shared" si="27"/>
        <v>60200</v>
      </c>
      <c r="R115" s="13">
        <f t="shared" si="27"/>
        <v>8874</v>
      </c>
      <c r="S115" s="13">
        <f t="shared" si="27"/>
        <v>11526</v>
      </c>
      <c r="T115" s="13">
        <f t="shared" si="27"/>
        <v>80400</v>
      </c>
      <c r="U115" s="101"/>
      <c r="V115" s="87">
        <f t="shared" si="24"/>
        <v>290900</v>
      </c>
    </row>
    <row r="116" spans="1:22" ht="12.75">
      <c r="A116" s="60"/>
      <c r="B116" s="43"/>
      <c r="C116" s="16"/>
      <c r="D116" s="16"/>
      <c r="E116" s="16"/>
      <c r="F116" s="16"/>
      <c r="G116" s="10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00"/>
      <c r="V116" s="15">
        <f t="shared" si="24"/>
        <v>0</v>
      </c>
    </row>
    <row r="117" spans="1:22" s="3" customFormat="1" ht="95.25" customHeight="1">
      <c r="A117" s="62" t="s">
        <v>87</v>
      </c>
      <c r="B117" s="90" t="s">
        <v>144</v>
      </c>
      <c r="C117" s="41" t="s">
        <v>115</v>
      </c>
      <c r="D117" s="37">
        <v>5710000000</v>
      </c>
      <c r="E117" s="37"/>
      <c r="F117" s="37"/>
      <c r="G117" s="37"/>
      <c r="H117" s="13">
        <f aca="true" t="shared" si="28" ref="H117:T117">H118</f>
        <v>10000</v>
      </c>
      <c r="I117" s="13">
        <f t="shared" si="28"/>
        <v>0</v>
      </c>
      <c r="J117" s="13">
        <f t="shared" si="28"/>
        <v>0</v>
      </c>
      <c r="K117" s="13">
        <f t="shared" si="28"/>
        <v>0</v>
      </c>
      <c r="L117" s="13">
        <f t="shared" si="28"/>
        <v>0</v>
      </c>
      <c r="M117" s="13">
        <f t="shared" si="28"/>
        <v>0</v>
      </c>
      <c r="N117" s="13">
        <f t="shared" si="28"/>
        <v>0</v>
      </c>
      <c r="O117" s="13">
        <f t="shared" si="28"/>
        <v>0</v>
      </c>
      <c r="P117" s="13">
        <f t="shared" si="28"/>
        <v>0</v>
      </c>
      <c r="Q117" s="13">
        <f t="shared" si="28"/>
        <v>0</v>
      </c>
      <c r="R117" s="13">
        <f t="shared" si="28"/>
        <v>0</v>
      </c>
      <c r="S117" s="13">
        <f t="shared" si="28"/>
        <v>0</v>
      </c>
      <c r="T117" s="13">
        <f t="shared" si="28"/>
        <v>10000</v>
      </c>
      <c r="U117" s="101"/>
      <c r="V117" s="87">
        <f t="shared" si="24"/>
        <v>10000</v>
      </c>
    </row>
    <row r="118" spans="1:22" ht="25.5">
      <c r="A118" s="60" t="s">
        <v>87</v>
      </c>
      <c r="B118" s="48" t="s">
        <v>157</v>
      </c>
      <c r="C118" s="10" t="s">
        <v>115</v>
      </c>
      <c r="D118" s="10">
        <v>5710110080</v>
      </c>
      <c r="E118" s="10">
        <v>244</v>
      </c>
      <c r="F118" s="10">
        <v>226</v>
      </c>
      <c r="G118" s="10"/>
      <c r="H118" s="14">
        <v>10000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10000</v>
      </c>
      <c r="U118" s="100"/>
      <c r="V118" s="15">
        <f t="shared" si="24"/>
        <v>10000</v>
      </c>
    </row>
    <row r="119" spans="1:22" ht="12.75">
      <c r="A119" s="60"/>
      <c r="B119" s="43"/>
      <c r="C119" s="16"/>
      <c r="D119" s="16"/>
      <c r="E119" s="16"/>
      <c r="F119" s="16"/>
      <c r="G119" s="10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00"/>
      <c r="V119" s="15">
        <f t="shared" si="24"/>
        <v>0</v>
      </c>
    </row>
    <row r="120" spans="1:22" ht="12.75">
      <c r="A120" s="60"/>
      <c r="B120" s="25" t="s">
        <v>45</v>
      </c>
      <c r="C120" s="25" t="s">
        <v>115</v>
      </c>
      <c r="D120" s="16"/>
      <c r="E120" s="16"/>
      <c r="F120" s="16"/>
      <c r="G120" s="10"/>
      <c r="H120" s="30">
        <f aca="true" t="shared" si="29" ref="H120:T120">H117</f>
        <v>10000</v>
      </c>
      <c r="I120" s="30">
        <f t="shared" si="29"/>
        <v>0</v>
      </c>
      <c r="J120" s="30">
        <f t="shared" si="29"/>
        <v>0</v>
      </c>
      <c r="K120" s="30">
        <f t="shared" si="29"/>
        <v>0</v>
      </c>
      <c r="L120" s="30">
        <f t="shared" si="29"/>
        <v>0</v>
      </c>
      <c r="M120" s="30">
        <f t="shared" si="29"/>
        <v>0</v>
      </c>
      <c r="N120" s="30">
        <f t="shared" si="29"/>
        <v>0</v>
      </c>
      <c r="O120" s="30">
        <f t="shared" si="29"/>
        <v>0</v>
      </c>
      <c r="P120" s="30">
        <f t="shared" si="29"/>
        <v>0</v>
      </c>
      <c r="Q120" s="30">
        <f t="shared" si="29"/>
        <v>0</v>
      </c>
      <c r="R120" s="30">
        <f t="shared" si="29"/>
        <v>0</v>
      </c>
      <c r="S120" s="30">
        <f t="shared" si="29"/>
        <v>0</v>
      </c>
      <c r="T120" s="30">
        <f t="shared" si="29"/>
        <v>10000</v>
      </c>
      <c r="U120" s="102"/>
      <c r="V120" s="47">
        <f t="shared" si="24"/>
        <v>10000</v>
      </c>
    </row>
    <row r="121" spans="1:22" ht="12.75">
      <c r="A121" s="60"/>
      <c r="B121" s="43"/>
      <c r="C121" s="16"/>
      <c r="D121" s="16"/>
      <c r="E121" s="16"/>
      <c r="F121" s="16"/>
      <c r="G121" s="10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00"/>
      <c r="V121" s="15">
        <f t="shared" si="24"/>
        <v>0</v>
      </c>
    </row>
    <row r="122" spans="1:22" s="3" customFormat="1" ht="81" customHeight="1">
      <c r="A122" s="62" t="s">
        <v>87</v>
      </c>
      <c r="B122" s="90" t="s">
        <v>116</v>
      </c>
      <c r="C122" s="37" t="s">
        <v>19</v>
      </c>
      <c r="D122" s="37">
        <v>5720000000</v>
      </c>
      <c r="E122" s="37"/>
      <c r="F122" s="37"/>
      <c r="G122" s="37"/>
      <c r="H122" s="13">
        <f aca="true" t="shared" si="30" ref="H122:T122">H123+H124</f>
        <v>158500</v>
      </c>
      <c r="I122" s="13">
        <f t="shared" si="30"/>
        <v>0</v>
      </c>
      <c r="J122" s="13">
        <f t="shared" si="30"/>
        <v>0</v>
      </c>
      <c r="K122" s="13">
        <f t="shared" si="30"/>
        <v>0</v>
      </c>
      <c r="L122" s="13">
        <f t="shared" si="30"/>
        <v>0</v>
      </c>
      <c r="M122" s="13">
        <f t="shared" si="30"/>
        <v>58500</v>
      </c>
      <c r="N122" s="13">
        <f t="shared" si="30"/>
        <v>0</v>
      </c>
      <c r="O122" s="13">
        <f t="shared" si="30"/>
        <v>0</v>
      </c>
      <c r="P122" s="13">
        <f t="shared" si="30"/>
        <v>0</v>
      </c>
      <c r="Q122" s="13">
        <f t="shared" si="30"/>
        <v>50000</v>
      </c>
      <c r="R122" s="13">
        <f t="shared" si="30"/>
        <v>0</v>
      </c>
      <c r="S122" s="13">
        <f t="shared" si="30"/>
        <v>0</v>
      </c>
      <c r="T122" s="13">
        <f t="shared" si="30"/>
        <v>50000</v>
      </c>
      <c r="U122" s="101"/>
      <c r="V122" s="87">
        <f t="shared" si="24"/>
        <v>158500</v>
      </c>
    </row>
    <row r="123" spans="1:22" ht="25.5" hidden="1">
      <c r="A123" s="56" t="s">
        <v>87</v>
      </c>
      <c r="B123" s="48" t="s">
        <v>157</v>
      </c>
      <c r="C123" s="10" t="s">
        <v>19</v>
      </c>
      <c r="D123" s="10">
        <v>5720110090</v>
      </c>
      <c r="E123" s="10">
        <v>244</v>
      </c>
      <c r="F123" s="10">
        <v>226</v>
      </c>
      <c r="G123" s="10"/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00"/>
      <c r="V123" s="15">
        <f t="shared" si="24"/>
        <v>0</v>
      </c>
    </row>
    <row r="124" spans="1:22" ht="38.25">
      <c r="A124" s="60" t="s">
        <v>87</v>
      </c>
      <c r="B124" s="48" t="s">
        <v>158</v>
      </c>
      <c r="C124" s="10" t="s">
        <v>19</v>
      </c>
      <c r="D124" s="10">
        <v>5720110090</v>
      </c>
      <c r="E124" s="10">
        <v>244</v>
      </c>
      <c r="F124" s="10">
        <v>340</v>
      </c>
      <c r="G124" s="10"/>
      <c r="H124" s="14">
        <v>158500</v>
      </c>
      <c r="I124" s="14">
        <v>0</v>
      </c>
      <c r="J124" s="14">
        <v>0</v>
      </c>
      <c r="K124" s="14">
        <v>0</v>
      </c>
      <c r="L124" s="14">
        <v>0</v>
      </c>
      <c r="M124" s="14">
        <v>58500</v>
      </c>
      <c r="N124" s="14">
        <v>0</v>
      </c>
      <c r="O124" s="14">
        <v>0</v>
      </c>
      <c r="P124" s="14">
        <v>0</v>
      </c>
      <c r="Q124" s="14">
        <v>50000</v>
      </c>
      <c r="R124" s="14">
        <v>0</v>
      </c>
      <c r="S124" s="14">
        <v>0</v>
      </c>
      <c r="T124" s="14">
        <v>50000</v>
      </c>
      <c r="U124" s="100"/>
      <c r="V124" s="15">
        <f t="shared" si="24"/>
        <v>158500</v>
      </c>
    </row>
    <row r="125" spans="1:22" s="3" customFormat="1" ht="92.25" customHeight="1">
      <c r="A125" s="62" t="s">
        <v>87</v>
      </c>
      <c r="B125" s="90" t="s">
        <v>117</v>
      </c>
      <c r="C125" s="37" t="s">
        <v>19</v>
      </c>
      <c r="D125" s="37">
        <v>5730000000</v>
      </c>
      <c r="E125" s="37"/>
      <c r="F125" s="37"/>
      <c r="G125" s="13"/>
      <c r="H125" s="13">
        <f aca="true" t="shared" si="31" ref="H125:T125">H126</f>
        <v>122400</v>
      </c>
      <c r="I125" s="13">
        <f t="shared" si="31"/>
        <v>0</v>
      </c>
      <c r="J125" s="13">
        <f t="shared" si="31"/>
        <v>8874</v>
      </c>
      <c r="K125" s="13">
        <f t="shared" si="31"/>
        <v>11526</v>
      </c>
      <c r="L125" s="13">
        <f t="shared" si="31"/>
        <v>8874</v>
      </c>
      <c r="M125" s="13">
        <f t="shared" si="31"/>
        <v>11526</v>
      </c>
      <c r="N125" s="13">
        <f t="shared" si="31"/>
        <v>10200</v>
      </c>
      <c r="O125" s="13">
        <f t="shared" si="31"/>
        <v>10200</v>
      </c>
      <c r="P125" s="13">
        <f t="shared" si="31"/>
        <v>10200</v>
      </c>
      <c r="Q125" s="13">
        <f t="shared" si="31"/>
        <v>10200</v>
      </c>
      <c r="R125" s="13">
        <f t="shared" si="31"/>
        <v>8874</v>
      </c>
      <c r="S125" s="13">
        <f t="shared" si="31"/>
        <v>11526</v>
      </c>
      <c r="T125" s="13">
        <f t="shared" si="31"/>
        <v>20400</v>
      </c>
      <c r="U125" s="101"/>
      <c r="V125" s="87">
        <f t="shared" si="24"/>
        <v>122400</v>
      </c>
    </row>
    <row r="126" spans="1:22" ht="101.25" customHeight="1">
      <c r="A126" s="56" t="s">
        <v>87</v>
      </c>
      <c r="B126" s="48" t="s">
        <v>174</v>
      </c>
      <c r="C126" s="10" t="s">
        <v>19</v>
      </c>
      <c r="D126" s="10">
        <v>5730110100</v>
      </c>
      <c r="E126" s="10">
        <v>123</v>
      </c>
      <c r="F126" s="10">
        <v>296</v>
      </c>
      <c r="G126" s="14"/>
      <c r="H126" s="14">
        <v>122400</v>
      </c>
      <c r="I126" s="14">
        <v>0</v>
      </c>
      <c r="J126" s="14">
        <v>8874</v>
      </c>
      <c r="K126" s="14">
        <f>20400-8874</f>
        <v>11526</v>
      </c>
      <c r="L126" s="14">
        <f>30600-20400-1326</f>
        <v>8874</v>
      </c>
      <c r="M126" s="14">
        <f>1326+10200</f>
        <v>11526</v>
      </c>
      <c r="N126" s="14">
        <f>30600-20400</f>
        <v>10200</v>
      </c>
      <c r="O126" s="14">
        <v>10200</v>
      </c>
      <c r="P126" s="14">
        <v>10200</v>
      </c>
      <c r="Q126" s="14">
        <v>10200</v>
      </c>
      <c r="R126" s="14">
        <f>30600-10200-11526</f>
        <v>8874</v>
      </c>
      <c r="S126" s="14">
        <f>20400-10200+11526-10200</f>
        <v>11526</v>
      </c>
      <c r="T126" s="14">
        <f>30600-10200-10200+10200</f>
        <v>20400</v>
      </c>
      <c r="U126" s="100"/>
      <c r="V126" s="15">
        <f t="shared" si="24"/>
        <v>122400</v>
      </c>
    </row>
    <row r="127" spans="1:22" ht="12.75">
      <c r="A127" s="56"/>
      <c r="B127" s="48"/>
      <c r="C127" s="10"/>
      <c r="D127" s="10"/>
      <c r="E127" s="10"/>
      <c r="F127" s="10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00"/>
      <c r="V127" s="15"/>
    </row>
    <row r="128" spans="1:22" ht="12.75">
      <c r="A128" s="56"/>
      <c r="B128" s="25" t="s">
        <v>45</v>
      </c>
      <c r="C128" s="61" t="s">
        <v>19</v>
      </c>
      <c r="D128" s="61"/>
      <c r="E128" s="61"/>
      <c r="F128" s="61"/>
      <c r="G128" s="30"/>
      <c r="H128" s="30">
        <f aca="true" t="shared" si="32" ref="H128:T128">H122+H125</f>
        <v>280900</v>
      </c>
      <c r="I128" s="30">
        <f t="shared" si="32"/>
        <v>0</v>
      </c>
      <c r="J128" s="30">
        <f t="shared" si="32"/>
        <v>8874</v>
      </c>
      <c r="K128" s="30">
        <f t="shared" si="32"/>
        <v>11526</v>
      </c>
      <c r="L128" s="30">
        <f t="shared" si="32"/>
        <v>8874</v>
      </c>
      <c r="M128" s="30">
        <f t="shared" si="32"/>
        <v>70026</v>
      </c>
      <c r="N128" s="30">
        <f t="shared" si="32"/>
        <v>10200</v>
      </c>
      <c r="O128" s="30">
        <f t="shared" si="32"/>
        <v>10200</v>
      </c>
      <c r="P128" s="30">
        <f t="shared" si="32"/>
        <v>10200</v>
      </c>
      <c r="Q128" s="30">
        <f t="shared" si="32"/>
        <v>60200</v>
      </c>
      <c r="R128" s="30">
        <f t="shared" si="32"/>
        <v>8874</v>
      </c>
      <c r="S128" s="30">
        <f t="shared" si="32"/>
        <v>11526</v>
      </c>
      <c r="T128" s="30">
        <f t="shared" si="32"/>
        <v>70400</v>
      </c>
      <c r="U128" s="102"/>
      <c r="V128" s="86">
        <f>SUM(I128:T128)</f>
        <v>280900</v>
      </c>
    </row>
    <row r="129" spans="1:22" ht="12.75">
      <c r="A129" s="56"/>
      <c r="B129" s="23"/>
      <c r="C129" s="16"/>
      <c r="D129" s="16"/>
      <c r="E129" s="16"/>
      <c r="F129" s="16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00"/>
      <c r="V129" s="15">
        <f>SUM(I129:T129)</f>
        <v>0</v>
      </c>
    </row>
    <row r="130" spans="1:22" ht="12.75">
      <c r="A130" s="66"/>
      <c r="B130" s="92" t="s">
        <v>59</v>
      </c>
      <c r="C130" s="44"/>
      <c r="D130" s="44"/>
      <c r="E130" s="44"/>
      <c r="F130" s="44"/>
      <c r="G130" s="49"/>
      <c r="H130" s="42">
        <f aca="true" t="shared" si="33" ref="H130:T130">H120+H128</f>
        <v>290900</v>
      </c>
      <c r="I130" s="42">
        <f t="shared" si="33"/>
        <v>0</v>
      </c>
      <c r="J130" s="42">
        <f t="shared" si="33"/>
        <v>8874</v>
      </c>
      <c r="K130" s="42">
        <f t="shared" si="33"/>
        <v>11526</v>
      </c>
      <c r="L130" s="42">
        <f t="shared" si="33"/>
        <v>8874</v>
      </c>
      <c r="M130" s="42">
        <f t="shared" si="33"/>
        <v>70026</v>
      </c>
      <c r="N130" s="42">
        <f t="shared" si="33"/>
        <v>10200</v>
      </c>
      <c r="O130" s="42">
        <f t="shared" si="33"/>
        <v>10200</v>
      </c>
      <c r="P130" s="42">
        <f t="shared" si="33"/>
        <v>10200</v>
      </c>
      <c r="Q130" s="42">
        <f t="shared" si="33"/>
        <v>60200</v>
      </c>
      <c r="R130" s="42">
        <f t="shared" si="33"/>
        <v>8874</v>
      </c>
      <c r="S130" s="42">
        <f t="shared" si="33"/>
        <v>11526</v>
      </c>
      <c r="T130" s="42">
        <f t="shared" si="33"/>
        <v>80400</v>
      </c>
      <c r="U130" s="104"/>
      <c r="V130" s="50">
        <f>SUM(I130:T130)</f>
        <v>290900</v>
      </c>
    </row>
    <row r="131" spans="1:22" ht="12.75">
      <c r="A131" s="56"/>
      <c r="B131" s="23"/>
      <c r="C131" s="16"/>
      <c r="D131" s="16"/>
      <c r="E131" s="16"/>
      <c r="F131" s="16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00"/>
      <c r="V131" s="15">
        <f>SUM(I131:T131)</f>
        <v>0</v>
      </c>
    </row>
    <row r="132" spans="1:22" ht="89.25">
      <c r="A132" s="62" t="s">
        <v>87</v>
      </c>
      <c r="B132" s="90" t="s">
        <v>119</v>
      </c>
      <c r="C132" s="37" t="s">
        <v>42</v>
      </c>
      <c r="D132" s="37">
        <v>5800000000</v>
      </c>
      <c r="E132" s="36"/>
      <c r="F132" s="36"/>
      <c r="G132" s="37"/>
      <c r="H132" s="13">
        <f aca="true" t="shared" si="34" ref="H132:T132">H134+H137</f>
        <v>19924574.310000002</v>
      </c>
      <c r="I132" s="13">
        <f t="shared" si="34"/>
        <v>180309.35</v>
      </c>
      <c r="J132" s="13">
        <f t="shared" si="34"/>
        <v>238455.32</v>
      </c>
      <c r="K132" s="13">
        <f t="shared" si="34"/>
        <v>333044.68</v>
      </c>
      <c r="L132" s="13">
        <f t="shared" si="34"/>
        <v>2722474.31</v>
      </c>
      <c r="M132" s="13">
        <f t="shared" si="34"/>
        <v>830000</v>
      </c>
      <c r="N132" s="13">
        <f t="shared" si="34"/>
        <v>9479925</v>
      </c>
      <c r="O132" s="13">
        <f t="shared" si="34"/>
        <v>980000</v>
      </c>
      <c r="P132" s="13">
        <f t="shared" si="34"/>
        <v>916165.65</v>
      </c>
      <c r="Q132" s="13">
        <f t="shared" si="34"/>
        <v>1480800</v>
      </c>
      <c r="R132" s="13">
        <f t="shared" si="34"/>
        <v>940000</v>
      </c>
      <c r="S132" s="13">
        <f t="shared" si="34"/>
        <v>920000</v>
      </c>
      <c r="T132" s="13">
        <f t="shared" si="34"/>
        <v>903400</v>
      </c>
      <c r="U132" s="101"/>
      <c r="V132" s="87">
        <f>V134+V137</f>
        <v>19924574.310000002</v>
      </c>
    </row>
    <row r="133" spans="1:22" ht="12.75">
      <c r="A133" s="56"/>
      <c r="B133" s="67"/>
      <c r="C133" s="12"/>
      <c r="D133" s="12"/>
      <c r="E133" s="12"/>
      <c r="F133" s="12"/>
      <c r="G133" s="31"/>
      <c r="H133" s="3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00"/>
      <c r="V133" s="15"/>
    </row>
    <row r="134" spans="1:22" ht="63.75">
      <c r="A134" s="62" t="s">
        <v>87</v>
      </c>
      <c r="B134" s="90" t="s">
        <v>120</v>
      </c>
      <c r="C134" s="37" t="s">
        <v>42</v>
      </c>
      <c r="D134" s="37">
        <v>5810000000</v>
      </c>
      <c r="E134" s="37"/>
      <c r="F134" s="37"/>
      <c r="G134" s="37"/>
      <c r="H134" s="13">
        <f aca="true" t="shared" si="35" ref="H134:T134">H135</f>
        <v>8032400</v>
      </c>
      <c r="I134" s="13">
        <f t="shared" si="35"/>
        <v>0</v>
      </c>
      <c r="J134" s="13">
        <f t="shared" si="35"/>
        <v>0</v>
      </c>
      <c r="K134" s="13">
        <f t="shared" si="35"/>
        <v>0</v>
      </c>
      <c r="L134" s="13">
        <f t="shared" si="35"/>
        <v>0</v>
      </c>
      <c r="M134" s="13">
        <f t="shared" si="35"/>
        <v>0</v>
      </c>
      <c r="N134" s="13">
        <f t="shared" si="35"/>
        <v>7832400</v>
      </c>
      <c r="O134" s="13">
        <f t="shared" si="35"/>
        <v>0</v>
      </c>
      <c r="P134" s="13">
        <f t="shared" si="35"/>
        <v>0</v>
      </c>
      <c r="Q134" s="13">
        <f t="shared" si="35"/>
        <v>200000</v>
      </c>
      <c r="R134" s="13">
        <f t="shared" si="35"/>
        <v>0</v>
      </c>
      <c r="S134" s="13">
        <f t="shared" si="35"/>
        <v>0</v>
      </c>
      <c r="T134" s="13">
        <f t="shared" si="35"/>
        <v>0</v>
      </c>
      <c r="U134" s="101"/>
      <c r="V134" s="87">
        <f>SUM(I134:T134)</f>
        <v>8032400</v>
      </c>
    </row>
    <row r="135" spans="1:22" ht="32.25" customHeight="1">
      <c r="A135" s="56" t="s">
        <v>87</v>
      </c>
      <c r="B135" s="48" t="s">
        <v>157</v>
      </c>
      <c r="C135" s="10" t="s">
        <v>42</v>
      </c>
      <c r="D135" s="78" t="s">
        <v>145</v>
      </c>
      <c r="E135" s="10">
        <v>244</v>
      </c>
      <c r="F135" s="10">
        <v>225</v>
      </c>
      <c r="G135" s="31"/>
      <c r="H135" s="29">
        <f>200000+7832400</f>
        <v>8032400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7832400</v>
      </c>
      <c r="O135" s="14">
        <v>0</v>
      </c>
      <c r="P135" s="14">
        <v>0</v>
      </c>
      <c r="Q135" s="14">
        <v>200000</v>
      </c>
      <c r="R135" s="14">
        <v>0</v>
      </c>
      <c r="S135" s="14">
        <v>0</v>
      </c>
      <c r="T135" s="14">
        <v>0</v>
      </c>
      <c r="U135" s="100"/>
      <c r="V135" s="15">
        <f>SUM(I135:T135)</f>
        <v>8032400</v>
      </c>
    </row>
    <row r="136" spans="1:22" ht="12.75">
      <c r="A136" s="56"/>
      <c r="B136" s="67"/>
      <c r="C136" s="10"/>
      <c r="D136" s="60"/>
      <c r="E136" s="10"/>
      <c r="F136" s="10"/>
      <c r="G136" s="31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00"/>
      <c r="V136" s="15"/>
    </row>
    <row r="137" spans="1:22" ht="63.75">
      <c r="A137" s="62" t="s">
        <v>87</v>
      </c>
      <c r="B137" s="90" t="s">
        <v>121</v>
      </c>
      <c r="C137" s="37" t="s">
        <v>42</v>
      </c>
      <c r="D137" s="37">
        <v>5820000000</v>
      </c>
      <c r="E137" s="37"/>
      <c r="F137" s="37"/>
      <c r="G137" s="37"/>
      <c r="H137" s="13">
        <f>H138+H140+H139</f>
        <v>11892174.31</v>
      </c>
      <c r="I137" s="13">
        <f aca="true" t="shared" si="36" ref="I137:T137">I138+I140+I139</f>
        <v>180309.35</v>
      </c>
      <c r="J137" s="13">
        <f t="shared" si="36"/>
        <v>238455.32</v>
      </c>
      <c r="K137" s="13">
        <f t="shared" si="36"/>
        <v>333044.68</v>
      </c>
      <c r="L137" s="13">
        <f t="shared" si="36"/>
        <v>2722474.31</v>
      </c>
      <c r="M137" s="13">
        <f t="shared" si="36"/>
        <v>830000</v>
      </c>
      <c r="N137" s="13">
        <f t="shared" si="36"/>
        <v>1647525</v>
      </c>
      <c r="O137" s="13">
        <f t="shared" si="36"/>
        <v>980000</v>
      </c>
      <c r="P137" s="13">
        <f t="shared" si="36"/>
        <v>916165.65</v>
      </c>
      <c r="Q137" s="13">
        <f t="shared" si="36"/>
        <v>1280800</v>
      </c>
      <c r="R137" s="13">
        <f t="shared" si="36"/>
        <v>940000</v>
      </c>
      <c r="S137" s="13">
        <f t="shared" si="36"/>
        <v>920000</v>
      </c>
      <c r="T137" s="13">
        <f t="shared" si="36"/>
        <v>903400</v>
      </c>
      <c r="U137" s="101"/>
      <c r="V137" s="87">
        <f>SUM(I137:T137)</f>
        <v>11892174.31</v>
      </c>
    </row>
    <row r="138" spans="1:22" ht="25.5">
      <c r="A138" s="56" t="s">
        <v>87</v>
      </c>
      <c r="B138" s="48" t="s">
        <v>157</v>
      </c>
      <c r="C138" s="10" t="s">
        <v>42</v>
      </c>
      <c r="D138" s="10">
        <v>5820110140</v>
      </c>
      <c r="E138" s="10">
        <v>244</v>
      </c>
      <c r="F138" s="10">
        <v>225</v>
      </c>
      <c r="G138" s="31"/>
      <c r="H138" s="29">
        <f>7812000+1885474.31</f>
        <v>9697474.31</v>
      </c>
      <c r="I138" s="14">
        <f>560000-551225</f>
        <v>8775</v>
      </c>
      <c r="J138" s="14">
        <f>530000-468500</f>
        <v>61500</v>
      </c>
      <c r="K138" s="14">
        <v>208000</v>
      </c>
      <c r="L138" s="14">
        <f>600000+1885474.31</f>
        <v>2485474.31</v>
      </c>
      <c r="M138" s="14">
        <v>650000</v>
      </c>
      <c r="N138" s="14">
        <f>921300+551225</f>
        <v>1472525</v>
      </c>
      <c r="O138" s="14">
        <v>830000</v>
      </c>
      <c r="P138" s="14">
        <v>750000</v>
      </c>
      <c r="Q138" s="14">
        <f>591300+468500</f>
        <v>1059800</v>
      </c>
      <c r="R138" s="14">
        <v>790000</v>
      </c>
      <c r="S138" s="14">
        <v>770000</v>
      </c>
      <c r="T138" s="14">
        <v>611400</v>
      </c>
      <c r="U138" s="100"/>
      <c r="V138" s="15">
        <f>SUM(I138:T138)</f>
        <v>9697474.31</v>
      </c>
    </row>
    <row r="139" spans="1:22" ht="25.5">
      <c r="A139" s="56" t="s">
        <v>87</v>
      </c>
      <c r="B139" s="48" t="s">
        <v>157</v>
      </c>
      <c r="C139" s="10" t="s">
        <v>42</v>
      </c>
      <c r="D139" s="10">
        <v>5820110140</v>
      </c>
      <c r="E139" s="10">
        <v>245</v>
      </c>
      <c r="F139" s="10"/>
      <c r="G139" s="31"/>
      <c r="H139" s="29">
        <v>16700</v>
      </c>
      <c r="I139" s="14">
        <v>16700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00"/>
      <c r="V139" s="15">
        <f>SUM(I139:T139)</f>
        <v>16700</v>
      </c>
    </row>
    <row r="140" spans="1:22" ht="25.5">
      <c r="A140" s="56" t="s">
        <v>87</v>
      </c>
      <c r="B140" s="110" t="s">
        <v>168</v>
      </c>
      <c r="C140" s="10" t="s">
        <v>42</v>
      </c>
      <c r="D140" s="10">
        <v>5820110140</v>
      </c>
      <c r="E140" s="10">
        <v>247</v>
      </c>
      <c r="F140" s="10">
        <v>223</v>
      </c>
      <c r="G140" s="31"/>
      <c r="H140" s="14">
        <v>2178000</v>
      </c>
      <c r="I140" s="14">
        <f>100000+54834.35</f>
        <v>154834.35</v>
      </c>
      <c r="J140" s="14">
        <f>192000-15044.68</f>
        <v>176955.32</v>
      </c>
      <c r="K140" s="14">
        <f>110000+15044.68</f>
        <v>125044.68</v>
      </c>
      <c r="L140" s="14">
        <v>237000</v>
      </c>
      <c r="M140" s="14">
        <v>180000</v>
      </c>
      <c r="N140" s="14">
        <v>175000</v>
      </c>
      <c r="O140" s="14">
        <v>150000</v>
      </c>
      <c r="P140" s="14">
        <f>221000-54834.35</f>
        <v>166165.65</v>
      </c>
      <c r="Q140" s="14">
        <v>221000</v>
      </c>
      <c r="R140" s="14">
        <v>150000</v>
      </c>
      <c r="S140" s="14">
        <v>150000</v>
      </c>
      <c r="T140" s="14">
        <v>292000</v>
      </c>
      <c r="U140" s="100"/>
      <c r="V140" s="15">
        <f>SUM(I140:T140)</f>
        <v>2178000</v>
      </c>
    </row>
    <row r="141" spans="1:22" ht="12.75">
      <c r="A141" s="56"/>
      <c r="B141" s="23"/>
      <c r="C141" s="10"/>
      <c r="D141" s="10"/>
      <c r="E141" s="10"/>
      <c r="F141" s="10"/>
      <c r="G141" s="31"/>
      <c r="H141" s="3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00"/>
      <c r="V141" s="15"/>
    </row>
    <row r="142" spans="1:22" ht="12.75">
      <c r="A142" s="56"/>
      <c r="B142" s="25" t="s">
        <v>45</v>
      </c>
      <c r="C142" s="25" t="s">
        <v>42</v>
      </c>
      <c r="D142" s="12"/>
      <c r="E142" s="12"/>
      <c r="F142" s="12"/>
      <c r="G142" s="31"/>
      <c r="H142" s="30">
        <f aca="true" t="shared" si="37" ref="H142:T142">H132</f>
        <v>19924574.310000002</v>
      </c>
      <c r="I142" s="30">
        <f t="shared" si="37"/>
        <v>180309.35</v>
      </c>
      <c r="J142" s="30">
        <f t="shared" si="37"/>
        <v>238455.32</v>
      </c>
      <c r="K142" s="30">
        <f t="shared" si="37"/>
        <v>333044.68</v>
      </c>
      <c r="L142" s="30">
        <f t="shared" si="37"/>
        <v>2722474.31</v>
      </c>
      <c r="M142" s="30">
        <f t="shared" si="37"/>
        <v>830000</v>
      </c>
      <c r="N142" s="30">
        <f t="shared" si="37"/>
        <v>9479925</v>
      </c>
      <c r="O142" s="30">
        <f t="shared" si="37"/>
        <v>980000</v>
      </c>
      <c r="P142" s="30">
        <f t="shared" si="37"/>
        <v>916165.65</v>
      </c>
      <c r="Q142" s="30">
        <f t="shared" si="37"/>
        <v>1480800</v>
      </c>
      <c r="R142" s="30">
        <f t="shared" si="37"/>
        <v>940000</v>
      </c>
      <c r="S142" s="30">
        <f t="shared" si="37"/>
        <v>920000</v>
      </c>
      <c r="T142" s="30">
        <f t="shared" si="37"/>
        <v>903400</v>
      </c>
      <c r="U142" s="102"/>
      <c r="V142" s="47">
        <f>SUM(I142:T142)</f>
        <v>19924574.310000002</v>
      </c>
    </row>
    <row r="143" spans="1:22" ht="12.75">
      <c r="A143" s="56"/>
      <c r="B143" s="67"/>
      <c r="C143" s="12"/>
      <c r="D143" s="12"/>
      <c r="E143" s="12"/>
      <c r="F143" s="12"/>
      <c r="G143" s="31"/>
      <c r="H143" s="3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00"/>
      <c r="V143" s="15"/>
    </row>
    <row r="144" spans="1:22" ht="63.75">
      <c r="A144" s="62" t="s">
        <v>87</v>
      </c>
      <c r="B144" s="90" t="s">
        <v>122</v>
      </c>
      <c r="C144" s="37" t="s">
        <v>20</v>
      </c>
      <c r="D144" s="37">
        <v>5900000000</v>
      </c>
      <c r="E144" s="37"/>
      <c r="F144" s="37"/>
      <c r="G144" s="37"/>
      <c r="H144" s="13">
        <f aca="true" t="shared" si="38" ref="H144:T144">H145</f>
        <v>100046</v>
      </c>
      <c r="I144" s="13">
        <f t="shared" si="38"/>
        <v>9500</v>
      </c>
      <c r="J144" s="13">
        <f t="shared" si="38"/>
        <v>0</v>
      </c>
      <c r="K144" s="13">
        <f t="shared" si="38"/>
        <v>0</v>
      </c>
      <c r="L144" s="13">
        <f t="shared" si="38"/>
        <v>0</v>
      </c>
      <c r="M144" s="13">
        <f t="shared" si="38"/>
        <v>0</v>
      </c>
      <c r="N144" s="13">
        <f t="shared" si="38"/>
        <v>0</v>
      </c>
      <c r="O144" s="13">
        <f t="shared" si="38"/>
        <v>0</v>
      </c>
      <c r="P144" s="13">
        <f t="shared" si="38"/>
        <v>0</v>
      </c>
      <c r="Q144" s="13">
        <f t="shared" si="38"/>
        <v>0</v>
      </c>
      <c r="R144" s="13">
        <f t="shared" si="38"/>
        <v>0</v>
      </c>
      <c r="S144" s="13">
        <f t="shared" si="38"/>
        <v>0</v>
      </c>
      <c r="T144" s="13">
        <f t="shared" si="38"/>
        <v>90546</v>
      </c>
      <c r="U144" s="101"/>
      <c r="V144" s="18">
        <f aca="true" t="shared" si="39" ref="V144:V160">SUM(I144:T144)</f>
        <v>100046</v>
      </c>
    </row>
    <row r="145" spans="1:22" ht="25.5">
      <c r="A145" s="56" t="s">
        <v>87</v>
      </c>
      <c r="B145" s="48" t="s">
        <v>157</v>
      </c>
      <c r="C145" s="10" t="s">
        <v>20</v>
      </c>
      <c r="D145" s="10">
        <v>5910110160</v>
      </c>
      <c r="E145" s="10">
        <v>244</v>
      </c>
      <c r="F145" s="10">
        <v>226</v>
      </c>
      <c r="G145" s="31"/>
      <c r="H145" s="14">
        <v>100046</v>
      </c>
      <c r="I145" s="14">
        <v>9500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f>100046-9500</f>
        <v>90546</v>
      </c>
      <c r="U145" s="100"/>
      <c r="V145" s="15">
        <f t="shared" si="39"/>
        <v>100046</v>
      </c>
    </row>
    <row r="146" spans="1:22" ht="12.75">
      <c r="A146" s="56"/>
      <c r="B146" s="67"/>
      <c r="C146" s="12"/>
      <c r="D146" s="12"/>
      <c r="E146" s="12"/>
      <c r="F146" s="12"/>
      <c r="G146" s="31"/>
      <c r="H146" s="3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00"/>
      <c r="V146" s="15">
        <f t="shared" si="39"/>
        <v>0</v>
      </c>
    </row>
    <row r="147" spans="1:22" ht="153" customHeight="1">
      <c r="A147" s="62" t="s">
        <v>87</v>
      </c>
      <c r="B147" s="90" t="s">
        <v>193</v>
      </c>
      <c r="C147" s="37" t="s">
        <v>20</v>
      </c>
      <c r="D147" s="37">
        <v>6000000000</v>
      </c>
      <c r="E147" s="37"/>
      <c r="F147" s="37"/>
      <c r="G147" s="37"/>
      <c r="H147" s="13">
        <f aca="true" t="shared" si="40" ref="H147:T147">H148</f>
        <v>20000</v>
      </c>
      <c r="I147" s="13">
        <f t="shared" si="40"/>
        <v>0</v>
      </c>
      <c r="J147" s="13">
        <f t="shared" si="40"/>
        <v>0</v>
      </c>
      <c r="K147" s="13">
        <f t="shared" si="40"/>
        <v>0</v>
      </c>
      <c r="L147" s="13">
        <f t="shared" si="40"/>
        <v>0</v>
      </c>
      <c r="M147" s="13">
        <f t="shared" si="40"/>
        <v>0</v>
      </c>
      <c r="N147" s="13">
        <f t="shared" si="40"/>
        <v>0</v>
      </c>
      <c r="O147" s="13">
        <f t="shared" si="40"/>
        <v>0</v>
      </c>
      <c r="P147" s="13">
        <f t="shared" si="40"/>
        <v>0</v>
      </c>
      <c r="Q147" s="13">
        <f t="shared" si="40"/>
        <v>0</v>
      </c>
      <c r="R147" s="13">
        <f t="shared" si="40"/>
        <v>0</v>
      </c>
      <c r="S147" s="13">
        <f t="shared" si="40"/>
        <v>20000</v>
      </c>
      <c r="T147" s="13">
        <f t="shared" si="40"/>
        <v>0</v>
      </c>
      <c r="U147" s="101"/>
      <c r="V147" s="87">
        <f t="shared" si="39"/>
        <v>20000</v>
      </c>
    </row>
    <row r="148" spans="1:22" ht="38.25">
      <c r="A148" s="56" t="s">
        <v>87</v>
      </c>
      <c r="B148" s="48" t="s">
        <v>158</v>
      </c>
      <c r="C148" s="10" t="s">
        <v>20</v>
      </c>
      <c r="D148" s="10">
        <v>6010110170</v>
      </c>
      <c r="E148" s="10">
        <v>244</v>
      </c>
      <c r="F148" s="10">
        <v>340</v>
      </c>
      <c r="G148" s="10"/>
      <c r="H148" s="14">
        <v>20000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20000</v>
      </c>
      <c r="T148" s="14">
        <v>0</v>
      </c>
      <c r="U148" s="100"/>
      <c r="V148" s="15">
        <f t="shared" si="39"/>
        <v>20000</v>
      </c>
    </row>
    <row r="149" spans="1:22" ht="12.75">
      <c r="A149" s="56"/>
      <c r="B149" s="63"/>
      <c r="C149" s="16"/>
      <c r="D149" s="16"/>
      <c r="E149" s="16"/>
      <c r="F149" s="16"/>
      <c r="G149" s="10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00"/>
      <c r="V149" s="15">
        <f t="shared" si="39"/>
        <v>0</v>
      </c>
    </row>
    <row r="150" spans="1:22" ht="116.25" customHeight="1">
      <c r="A150" s="57" t="s">
        <v>87</v>
      </c>
      <c r="B150" s="90" t="s">
        <v>203</v>
      </c>
      <c r="C150" s="37" t="s">
        <v>20</v>
      </c>
      <c r="D150" s="37">
        <v>8710000460</v>
      </c>
      <c r="E150" s="37">
        <v>540</v>
      </c>
      <c r="F150" s="36"/>
      <c r="G150" s="37"/>
      <c r="H150" s="13">
        <v>354</v>
      </c>
      <c r="I150" s="13">
        <v>0</v>
      </c>
      <c r="J150" s="13">
        <v>354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01"/>
      <c r="V150" s="15">
        <f t="shared" si="39"/>
        <v>354</v>
      </c>
    </row>
    <row r="151" spans="1:22" ht="12.75">
      <c r="A151" s="56"/>
      <c r="B151" s="25"/>
      <c r="C151" s="26"/>
      <c r="D151" s="12"/>
      <c r="E151" s="12"/>
      <c r="F151" s="12"/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102"/>
      <c r="V151" s="15">
        <f t="shared" si="39"/>
        <v>0</v>
      </c>
    </row>
    <row r="152" spans="1:22" ht="12.75">
      <c r="A152" s="56"/>
      <c r="B152" s="25"/>
      <c r="C152" s="26"/>
      <c r="D152" s="12"/>
      <c r="E152" s="12"/>
      <c r="F152" s="12"/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102"/>
      <c r="V152" s="15">
        <f t="shared" si="39"/>
        <v>0</v>
      </c>
    </row>
    <row r="153" spans="1:22" ht="12.75">
      <c r="A153" s="56"/>
      <c r="B153" s="25" t="s">
        <v>45</v>
      </c>
      <c r="C153" s="25" t="s">
        <v>20</v>
      </c>
      <c r="D153" s="12"/>
      <c r="E153" s="12"/>
      <c r="F153" s="12"/>
      <c r="G153" s="31"/>
      <c r="H153" s="30">
        <f aca="true" t="shared" si="41" ref="H153:T153">H147+H144+H150</f>
        <v>120400</v>
      </c>
      <c r="I153" s="30">
        <f t="shared" si="41"/>
        <v>9500</v>
      </c>
      <c r="J153" s="30">
        <f t="shared" si="41"/>
        <v>354</v>
      </c>
      <c r="K153" s="30">
        <f t="shared" si="41"/>
        <v>0</v>
      </c>
      <c r="L153" s="30">
        <f t="shared" si="41"/>
        <v>0</v>
      </c>
      <c r="M153" s="30">
        <f t="shared" si="41"/>
        <v>0</v>
      </c>
      <c r="N153" s="30">
        <f t="shared" si="41"/>
        <v>0</v>
      </c>
      <c r="O153" s="30">
        <f t="shared" si="41"/>
        <v>0</v>
      </c>
      <c r="P153" s="30">
        <f t="shared" si="41"/>
        <v>0</v>
      </c>
      <c r="Q153" s="30">
        <f t="shared" si="41"/>
        <v>0</v>
      </c>
      <c r="R153" s="30">
        <f t="shared" si="41"/>
        <v>0</v>
      </c>
      <c r="S153" s="30">
        <f t="shared" si="41"/>
        <v>20000</v>
      </c>
      <c r="T153" s="30">
        <f t="shared" si="41"/>
        <v>90546</v>
      </c>
      <c r="U153" s="102"/>
      <c r="V153" s="47">
        <f t="shared" si="39"/>
        <v>120400</v>
      </c>
    </row>
    <row r="154" spans="1:22" ht="12.75">
      <c r="A154" s="56"/>
      <c r="B154" s="67"/>
      <c r="C154" s="12"/>
      <c r="D154" s="12"/>
      <c r="E154" s="12"/>
      <c r="F154" s="12"/>
      <c r="G154" s="31"/>
      <c r="H154" s="3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00"/>
      <c r="V154" s="15">
        <f t="shared" si="39"/>
        <v>0</v>
      </c>
    </row>
    <row r="155" spans="1:22" ht="12.75">
      <c r="A155" s="66"/>
      <c r="B155" s="92" t="s">
        <v>61</v>
      </c>
      <c r="C155" s="68"/>
      <c r="D155" s="68"/>
      <c r="E155" s="68"/>
      <c r="F155" s="68"/>
      <c r="G155" s="69"/>
      <c r="H155" s="42">
        <f aca="true" t="shared" si="42" ref="H155:T155">H153+H142</f>
        <v>20044974.310000002</v>
      </c>
      <c r="I155" s="42">
        <f t="shared" si="42"/>
        <v>189809.35</v>
      </c>
      <c r="J155" s="42">
        <f t="shared" si="42"/>
        <v>238809.32</v>
      </c>
      <c r="K155" s="42">
        <f t="shared" si="42"/>
        <v>333044.68</v>
      </c>
      <c r="L155" s="42">
        <f t="shared" si="42"/>
        <v>2722474.31</v>
      </c>
      <c r="M155" s="42">
        <f t="shared" si="42"/>
        <v>830000</v>
      </c>
      <c r="N155" s="42">
        <f t="shared" si="42"/>
        <v>9479925</v>
      </c>
      <c r="O155" s="42">
        <f t="shared" si="42"/>
        <v>980000</v>
      </c>
      <c r="P155" s="42">
        <f t="shared" si="42"/>
        <v>916165.65</v>
      </c>
      <c r="Q155" s="42">
        <f t="shared" si="42"/>
        <v>1480800</v>
      </c>
      <c r="R155" s="42">
        <f t="shared" si="42"/>
        <v>940000</v>
      </c>
      <c r="S155" s="42">
        <f t="shared" si="42"/>
        <v>940000</v>
      </c>
      <c r="T155" s="42">
        <f t="shared" si="42"/>
        <v>993946</v>
      </c>
      <c r="U155" s="104"/>
      <c r="V155" s="50">
        <f t="shared" si="39"/>
        <v>20044974.310000002</v>
      </c>
    </row>
    <row r="156" spans="1:22" ht="12.75">
      <c r="A156" s="60"/>
      <c r="B156" s="43"/>
      <c r="C156" s="12"/>
      <c r="D156" s="12"/>
      <c r="E156" s="12"/>
      <c r="F156" s="12"/>
      <c r="G156" s="31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104"/>
      <c r="V156" s="15">
        <f t="shared" si="39"/>
        <v>0</v>
      </c>
    </row>
    <row r="157" spans="1:22" ht="84" customHeight="1">
      <c r="A157" s="62" t="s">
        <v>87</v>
      </c>
      <c r="B157" s="90" t="s">
        <v>123</v>
      </c>
      <c r="C157" s="37" t="s">
        <v>21</v>
      </c>
      <c r="D157" s="37">
        <v>6100000000</v>
      </c>
      <c r="E157" s="36"/>
      <c r="F157" s="36"/>
      <c r="G157" s="37"/>
      <c r="H157" s="13">
        <f aca="true" t="shared" si="43" ref="H157:T157">H159+H164+H161</f>
        <v>220000</v>
      </c>
      <c r="I157" s="13">
        <f t="shared" si="43"/>
        <v>0</v>
      </c>
      <c r="J157" s="13">
        <f t="shared" si="43"/>
        <v>19500</v>
      </c>
      <c r="K157" s="13">
        <f t="shared" si="43"/>
        <v>0</v>
      </c>
      <c r="L157" s="13">
        <f t="shared" si="43"/>
        <v>0</v>
      </c>
      <c r="M157" s="13">
        <f t="shared" si="43"/>
        <v>0</v>
      </c>
      <c r="N157" s="13">
        <f t="shared" si="43"/>
        <v>0</v>
      </c>
      <c r="O157" s="13">
        <f t="shared" si="43"/>
        <v>50000</v>
      </c>
      <c r="P157" s="13">
        <f t="shared" si="43"/>
        <v>50000</v>
      </c>
      <c r="Q157" s="13">
        <f t="shared" si="43"/>
        <v>78800</v>
      </c>
      <c r="R157" s="13">
        <f t="shared" si="43"/>
        <v>0</v>
      </c>
      <c r="S157" s="13">
        <f t="shared" si="43"/>
        <v>10000</v>
      </c>
      <c r="T157" s="13">
        <f t="shared" si="43"/>
        <v>11700</v>
      </c>
      <c r="U157" s="101"/>
      <c r="V157" s="87">
        <f t="shared" si="39"/>
        <v>220000</v>
      </c>
    </row>
    <row r="158" spans="1:22" ht="13.5" customHeight="1">
      <c r="A158" s="65"/>
      <c r="B158" s="67"/>
      <c r="C158" s="12"/>
      <c r="D158" s="12"/>
      <c r="E158" s="12"/>
      <c r="F158" s="12"/>
      <c r="G158" s="31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101"/>
      <c r="V158" s="15">
        <f t="shared" si="39"/>
        <v>0</v>
      </c>
    </row>
    <row r="159" spans="1:22" ht="86.25" customHeight="1">
      <c r="A159" s="62" t="s">
        <v>87</v>
      </c>
      <c r="B159" s="90" t="s">
        <v>124</v>
      </c>
      <c r="C159" s="37" t="s">
        <v>21</v>
      </c>
      <c r="D159" s="37">
        <v>6110000000</v>
      </c>
      <c r="E159" s="37"/>
      <c r="F159" s="37"/>
      <c r="G159" s="37"/>
      <c r="H159" s="13">
        <f aca="true" t="shared" si="44" ref="H159:T159">H160</f>
        <v>10000</v>
      </c>
      <c r="I159" s="13">
        <f t="shared" si="44"/>
        <v>0</v>
      </c>
      <c r="J159" s="13">
        <f t="shared" si="44"/>
        <v>0</v>
      </c>
      <c r="K159" s="13">
        <f t="shared" si="44"/>
        <v>0</v>
      </c>
      <c r="L159" s="13">
        <f t="shared" si="44"/>
        <v>0</v>
      </c>
      <c r="M159" s="13">
        <f t="shared" si="44"/>
        <v>0</v>
      </c>
      <c r="N159" s="13">
        <f t="shared" si="44"/>
        <v>0</v>
      </c>
      <c r="O159" s="13">
        <f t="shared" si="44"/>
        <v>0</v>
      </c>
      <c r="P159" s="13">
        <f t="shared" si="44"/>
        <v>0</v>
      </c>
      <c r="Q159" s="13">
        <f t="shared" si="44"/>
        <v>10000</v>
      </c>
      <c r="R159" s="13">
        <f t="shared" si="44"/>
        <v>0</v>
      </c>
      <c r="S159" s="13">
        <f t="shared" si="44"/>
        <v>0</v>
      </c>
      <c r="T159" s="13">
        <f t="shared" si="44"/>
        <v>0</v>
      </c>
      <c r="U159" s="101"/>
      <c r="V159" s="87">
        <f t="shared" si="39"/>
        <v>10000</v>
      </c>
    </row>
    <row r="160" spans="1:22" ht="25.5">
      <c r="A160" s="56" t="s">
        <v>87</v>
      </c>
      <c r="B160" s="48" t="s">
        <v>157</v>
      </c>
      <c r="C160" s="10" t="s">
        <v>21</v>
      </c>
      <c r="D160" s="10">
        <v>6110110200</v>
      </c>
      <c r="E160" s="10">
        <v>244</v>
      </c>
      <c r="F160" s="10">
        <v>225</v>
      </c>
      <c r="G160" s="31"/>
      <c r="H160" s="14">
        <v>10000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10000</v>
      </c>
      <c r="R160" s="14">
        <v>0</v>
      </c>
      <c r="S160" s="14">
        <v>0</v>
      </c>
      <c r="T160" s="14">
        <v>0</v>
      </c>
      <c r="U160" s="100"/>
      <c r="V160" s="15">
        <f t="shared" si="39"/>
        <v>10000</v>
      </c>
    </row>
    <row r="161" spans="1:22" s="3" customFormat="1" ht="141" customHeight="1">
      <c r="A161" s="62" t="s">
        <v>87</v>
      </c>
      <c r="B161" s="90" t="s">
        <v>125</v>
      </c>
      <c r="C161" s="37" t="s">
        <v>21</v>
      </c>
      <c r="D161" s="37">
        <v>6120000000</v>
      </c>
      <c r="E161" s="37"/>
      <c r="F161" s="37"/>
      <c r="G161" s="37"/>
      <c r="H161" s="13">
        <f aca="true" t="shared" si="45" ref="H161:T161">H162</f>
        <v>21700</v>
      </c>
      <c r="I161" s="13">
        <f t="shared" si="45"/>
        <v>0</v>
      </c>
      <c r="J161" s="13">
        <f t="shared" si="45"/>
        <v>0</v>
      </c>
      <c r="K161" s="13">
        <f t="shared" si="45"/>
        <v>0</v>
      </c>
      <c r="L161" s="13">
        <f t="shared" si="45"/>
        <v>0</v>
      </c>
      <c r="M161" s="13">
        <f t="shared" si="45"/>
        <v>0</v>
      </c>
      <c r="N161" s="13">
        <f t="shared" si="45"/>
        <v>0</v>
      </c>
      <c r="O161" s="13">
        <f t="shared" si="45"/>
        <v>0</v>
      </c>
      <c r="P161" s="13">
        <f t="shared" si="45"/>
        <v>0</v>
      </c>
      <c r="Q161" s="13">
        <f t="shared" si="45"/>
        <v>0</v>
      </c>
      <c r="R161" s="13">
        <f t="shared" si="45"/>
        <v>0</v>
      </c>
      <c r="S161" s="13">
        <f t="shared" si="45"/>
        <v>10000</v>
      </c>
      <c r="T161" s="13">
        <f t="shared" si="45"/>
        <v>11700</v>
      </c>
      <c r="U161" s="101"/>
      <c r="V161" s="87">
        <f>V162</f>
        <v>21700</v>
      </c>
    </row>
    <row r="162" spans="1:22" ht="51">
      <c r="A162" s="56" t="s">
        <v>87</v>
      </c>
      <c r="B162" s="48" t="s">
        <v>175</v>
      </c>
      <c r="C162" s="10" t="s">
        <v>21</v>
      </c>
      <c r="D162" s="10">
        <v>6120110210</v>
      </c>
      <c r="E162" s="10">
        <v>244</v>
      </c>
      <c r="F162" s="10">
        <v>310</v>
      </c>
      <c r="G162" s="31"/>
      <c r="H162" s="14">
        <f>10000+11700</f>
        <v>21700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10000</v>
      </c>
      <c r="T162" s="14">
        <v>11700</v>
      </c>
      <c r="U162" s="100"/>
      <c r="V162" s="15">
        <f>SUM(I162:T162)</f>
        <v>21700</v>
      </c>
    </row>
    <row r="163" spans="1:22" ht="12.75">
      <c r="A163" s="56"/>
      <c r="B163" s="63"/>
      <c r="C163" s="10"/>
      <c r="D163" s="10"/>
      <c r="E163" s="10"/>
      <c r="F163" s="10"/>
      <c r="G163" s="31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00"/>
      <c r="V163" s="15"/>
    </row>
    <row r="164" spans="1:22" ht="63.75">
      <c r="A164" s="62" t="s">
        <v>87</v>
      </c>
      <c r="B164" s="90" t="s">
        <v>139</v>
      </c>
      <c r="C164" s="37" t="s">
        <v>21</v>
      </c>
      <c r="D164" s="37">
        <v>6200000000</v>
      </c>
      <c r="E164" s="37"/>
      <c r="F164" s="37"/>
      <c r="G164" s="37"/>
      <c r="H164" s="13">
        <f aca="true" t="shared" si="46" ref="H164:T164">H165+H166</f>
        <v>188300</v>
      </c>
      <c r="I164" s="13">
        <f t="shared" si="46"/>
        <v>0</v>
      </c>
      <c r="J164" s="13">
        <f t="shared" si="46"/>
        <v>19500</v>
      </c>
      <c r="K164" s="13">
        <f t="shared" si="46"/>
        <v>0</v>
      </c>
      <c r="L164" s="13">
        <f t="shared" si="46"/>
        <v>0</v>
      </c>
      <c r="M164" s="13">
        <f t="shared" si="46"/>
        <v>0</v>
      </c>
      <c r="N164" s="13">
        <f t="shared" si="46"/>
        <v>0</v>
      </c>
      <c r="O164" s="13">
        <f t="shared" si="46"/>
        <v>50000</v>
      </c>
      <c r="P164" s="13">
        <f t="shared" si="46"/>
        <v>50000</v>
      </c>
      <c r="Q164" s="13">
        <f t="shared" si="46"/>
        <v>68800</v>
      </c>
      <c r="R164" s="13">
        <f t="shared" si="46"/>
        <v>0</v>
      </c>
      <c r="S164" s="13">
        <f t="shared" si="46"/>
        <v>0</v>
      </c>
      <c r="T164" s="13">
        <f t="shared" si="46"/>
        <v>0</v>
      </c>
      <c r="U164" s="101"/>
      <c r="V164" s="87">
        <f>SUM(I164:T164)</f>
        <v>188300</v>
      </c>
    </row>
    <row r="165" spans="1:22" ht="25.5">
      <c r="A165" s="56" t="s">
        <v>87</v>
      </c>
      <c r="B165" s="48" t="s">
        <v>157</v>
      </c>
      <c r="C165" s="10" t="s">
        <v>21</v>
      </c>
      <c r="D165" s="10">
        <v>6210110230</v>
      </c>
      <c r="E165" s="10">
        <v>244</v>
      </c>
      <c r="F165" s="10">
        <v>310</v>
      </c>
      <c r="G165" s="31"/>
      <c r="H165" s="14">
        <f>200000-11700</f>
        <v>188300</v>
      </c>
      <c r="I165" s="14">
        <v>0</v>
      </c>
      <c r="J165" s="14">
        <v>19500</v>
      </c>
      <c r="K165" s="14">
        <v>0</v>
      </c>
      <c r="L165" s="14">
        <v>0</v>
      </c>
      <c r="M165" s="14">
        <v>0</v>
      </c>
      <c r="N165" s="14">
        <v>0</v>
      </c>
      <c r="O165" s="14">
        <v>50000</v>
      </c>
      <c r="P165" s="14">
        <v>50000</v>
      </c>
      <c r="Q165" s="14">
        <f>100000-11700-19500</f>
        <v>68800</v>
      </c>
      <c r="R165" s="14">
        <v>0</v>
      </c>
      <c r="S165" s="14">
        <v>0</v>
      </c>
      <c r="T165" s="14">
        <v>0</v>
      </c>
      <c r="U165" s="100"/>
      <c r="V165" s="15">
        <f>SUM(I165:T165)</f>
        <v>188300</v>
      </c>
    </row>
    <row r="166" spans="1:22" ht="76.5" hidden="1">
      <c r="A166" s="56" t="s">
        <v>87</v>
      </c>
      <c r="B166" s="48" t="s">
        <v>198</v>
      </c>
      <c r="C166" s="10" t="s">
        <v>21</v>
      </c>
      <c r="D166" s="10">
        <v>6210110230</v>
      </c>
      <c r="E166" s="10">
        <v>245</v>
      </c>
      <c r="F166" s="10">
        <v>226</v>
      </c>
      <c r="G166" s="31"/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00"/>
      <c r="V166" s="15">
        <f>SUM(I166:T166)</f>
        <v>0</v>
      </c>
    </row>
    <row r="167" spans="1:22" ht="12.75">
      <c r="A167" s="56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103"/>
      <c r="V167" s="22"/>
    </row>
    <row r="168" spans="1:22" ht="12.75">
      <c r="A168" s="60"/>
      <c r="B168" s="25" t="s">
        <v>45</v>
      </c>
      <c r="C168" s="25" t="s">
        <v>21</v>
      </c>
      <c r="D168" s="12"/>
      <c r="E168" s="12"/>
      <c r="F168" s="12"/>
      <c r="G168" s="31"/>
      <c r="H168" s="30">
        <f aca="true" t="shared" si="47" ref="H168:T168">H162+H164+H159</f>
        <v>220000</v>
      </c>
      <c r="I168" s="30">
        <f t="shared" si="47"/>
        <v>0</v>
      </c>
      <c r="J168" s="30">
        <f t="shared" si="47"/>
        <v>19500</v>
      </c>
      <c r="K168" s="30">
        <f t="shared" si="47"/>
        <v>0</v>
      </c>
      <c r="L168" s="30">
        <f t="shared" si="47"/>
        <v>0</v>
      </c>
      <c r="M168" s="30">
        <f t="shared" si="47"/>
        <v>0</v>
      </c>
      <c r="N168" s="30">
        <f t="shared" si="47"/>
        <v>0</v>
      </c>
      <c r="O168" s="30">
        <f t="shared" si="47"/>
        <v>50000</v>
      </c>
      <c r="P168" s="30">
        <f t="shared" si="47"/>
        <v>50000</v>
      </c>
      <c r="Q168" s="30">
        <f t="shared" si="47"/>
        <v>78800</v>
      </c>
      <c r="R168" s="30">
        <f t="shared" si="47"/>
        <v>0</v>
      </c>
      <c r="S168" s="30">
        <f t="shared" si="47"/>
        <v>10000</v>
      </c>
      <c r="T168" s="30">
        <f t="shared" si="47"/>
        <v>11700</v>
      </c>
      <c r="U168" s="102"/>
      <c r="V168" s="47">
        <f>SUM(I168:T168)</f>
        <v>220000</v>
      </c>
    </row>
    <row r="169" spans="1:22" ht="12.75">
      <c r="A169" s="60"/>
      <c r="B169" s="25"/>
      <c r="C169" s="11"/>
      <c r="D169" s="12"/>
      <c r="E169" s="12"/>
      <c r="F169" s="12"/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97"/>
      <c r="V169" s="47"/>
    </row>
    <row r="170" spans="1:22" ht="63.75">
      <c r="A170" s="62" t="s">
        <v>87</v>
      </c>
      <c r="B170" s="93" t="s">
        <v>146</v>
      </c>
      <c r="C170" s="37" t="s">
        <v>22</v>
      </c>
      <c r="D170" s="94" t="s">
        <v>102</v>
      </c>
      <c r="E170" s="41"/>
      <c r="F170" s="41"/>
      <c r="G170" s="37"/>
      <c r="H170" s="13">
        <f aca="true" t="shared" si="48" ref="H170:T170">H171</f>
        <v>50000</v>
      </c>
      <c r="I170" s="13">
        <f t="shared" si="48"/>
        <v>0</v>
      </c>
      <c r="J170" s="13">
        <f t="shared" si="48"/>
        <v>0</v>
      </c>
      <c r="K170" s="13">
        <f t="shared" si="48"/>
        <v>0</v>
      </c>
      <c r="L170" s="13">
        <f t="shared" si="48"/>
        <v>0</v>
      </c>
      <c r="M170" s="13">
        <f t="shared" si="48"/>
        <v>0</v>
      </c>
      <c r="N170" s="13">
        <f t="shared" si="48"/>
        <v>0</v>
      </c>
      <c r="O170" s="13">
        <f t="shared" si="48"/>
        <v>0</v>
      </c>
      <c r="P170" s="13">
        <f t="shared" si="48"/>
        <v>0</v>
      </c>
      <c r="Q170" s="13">
        <f t="shared" si="48"/>
        <v>50000</v>
      </c>
      <c r="R170" s="13">
        <f t="shared" si="48"/>
        <v>0</v>
      </c>
      <c r="S170" s="13">
        <f t="shared" si="48"/>
        <v>0</v>
      </c>
      <c r="T170" s="13">
        <f t="shared" si="48"/>
        <v>0</v>
      </c>
      <c r="U170" s="58"/>
      <c r="V170" s="88">
        <f>V171</f>
        <v>50000</v>
      </c>
    </row>
    <row r="171" spans="1:22" ht="25.5">
      <c r="A171" s="56" t="s">
        <v>87</v>
      </c>
      <c r="B171" s="48" t="s">
        <v>157</v>
      </c>
      <c r="C171" s="10" t="s">
        <v>22</v>
      </c>
      <c r="D171" s="95" t="s">
        <v>103</v>
      </c>
      <c r="E171" s="10">
        <v>244</v>
      </c>
      <c r="F171" s="10">
        <v>226</v>
      </c>
      <c r="G171" s="31"/>
      <c r="H171" s="14">
        <v>50000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50000</v>
      </c>
      <c r="R171" s="14">
        <v>0</v>
      </c>
      <c r="S171" s="14">
        <v>0</v>
      </c>
      <c r="T171" s="14">
        <v>0</v>
      </c>
      <c r="U171" s="100"/>
      <c r="V171" s="15">
        <f>SUM(I171:T171)</f>
        <v>50000</v>
      </c>
    </row>
    <row r="172" spans="1:22" ht="83.25" customHeight="1">
      <c r="A172" s="62" t="s">
        <v>87</v>
      </c>
      <c r="B172" s="90" t="s">
        <v>126</v>
      </c>
      <c r="C172" s="37" t="s">
        <v>22</v>
      </c>
      <c r="D172" s="37">
        <v>6300000000</v>
      </c>
      <c r="E172" s="36"/>
      <c r="F172" s="36"/>
      <c r="G172" s="37"/>
      <c r="H172" s="13">
        <f aca="true" t="shared" si="49" ref="H172:T172">H174+H195+H188</f>
        <v>11573020.02</v>
      </c>
      <c r="I172" s="13">
        <f t="shared" si="49"/>
        <v>829013</v>
      </c>
      <c r="J172" s="13">
        <f t="shared" si="49"/>
        <v>1111335.08</v>
      </c>
      <c r="K172" s="13">
        <f t="shared" si="49"/>
        <v>894300</v>
      </c>
      <c r="L172" s="13">
        <f t="shared" si="49"/>
        <v>898745</v>
      </c>
      <c r="M172" s="13">
        <f t="shared" si="49"/>
        <v>984302.9</v>
      </c>
      <c r="N172" s="13">
        <f t="shared" si="49"/>
        <v>1033974.09</v>
      </c>
      <c r="O172" s="13">
        <f t="shared" si="49"/>
        <v>1303307.15</v>
      </c>
      <c r="P172" s="13">
        <f t="shared" si="49"/>
        <v>921558.97</v>
      </c>
      <c r="Q172" s="13">
        <f t="shared" si="49"/>
        <v>882300</v>
      </c>
      <c r="R172" s="13">
        <f t="shared" si="49"/>
        <v>990643.96</v>
      </c>
      <c r="S172" s="13">
        <f t="shared" si="49"/>
        <v>905600</v>
      </c>
      <c r="T172" s="13">
        <f t="shared" si="49"/>
        <v>817939.8700000001</v>
      </c>
      <c r="U172" s="101"/>
      <c r="V172" s="87">
        <f>SUM(I172:T172)</f>
        <v>11573020.020000003</v>
      </c>
    </row>
    <row r="173" spans="1:22" ht="12.75">
      <c r="A173" s="60"/>
      <c r="B173" s="43"/>
      <c r="C173" s="12"/>
      <c r="D173" s="12"/>
      <c r="E173" s="12"/>
      <c r="F173" s="12"/>
      <c r="G173" s="31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104"/>
      <c r="V173" s="15"/>
    </row>
    <row r="174" spans="1:22" ht="75" customHeight="1">
      <c r="A174" s="62" t="s">
        <v>87</v>
      </c>
      <c r="B174" s="90" t="s">
        <v>147</v>
      </c>
      <c r="C174" s="37" t="s">
        <v>22</v>
      </c>
      <c r="D174" s="37">
        <v>63100000000</v>
      </c>
      <c r="E174" s="37"/>
      <c r="F174" s="37"/>
      <c r="G174" s="37"/>
      <c r="H174" s="13">
        <f>H175+H179+H180+H181+H183+H184+H187+H182+H186+H185</f>
        <v>9753800</v>
      </c>
      <c r="I174" s="13">
        <f aca="true" t="shared" si="50" ref="I174:T174">I175+I179+I180+I181+I183+I184+I187+I182+I186+I185</f>
        <v>447000</v>
      </c>
      <c r="J174" s="13">
        <f t="shared" si="50"/>
        <v>753100.0000000001</v>
      </c>
      <c r="K174" s="13">
        <f t="shared" si="50"/>
        <v>812800</v>
      </c>
      <c r="L174" s="13">
        <f t="shared" si="50"/>
        <v>816800</v>
      </c>
      <c r="M174" s="13">
        <f t="shared" si="50"/>
        <v>902802.9</v>
      </c>
      <c r="N174" s="13">
        <f t="shared" si="50"/>
        <v>952474.09</v>
      </c>
      <c r="O174" s="13">
        <f t="shared" si="50"/>
        <v>921807.15</v>
      </c>
      <c r="P174" s="13">
        <f t="shared" si="50"/>
        <v>840058.97</v>
      </c>
      <c r="Q174" s="13">
        <f t="shared" si="50"/>
        <v>800800</v>
      </c>
      <c r="R174" s="13">
        <f t="shared" si="50"/>
        <v>909143.96</v>
      </c>
      <c r="S174" s="13">
        <f t="shared" si="50"/>
        <v>824100</v>
      </c>
      <c r="T174" s="13">
        <f t="shared" si="50"/>
        <v>772912.93</v>
      </c>
      <c r="U174" s="101"/>
      <c r="V174" s="87">
        <f>I174+J174+K174+L174+M174+N174+O174+P174+Q174+R174+S174+T174</f>
        <v>9753800</v>
      </c>
    </row>
    <row r="175" spans="7:22" ht="12.75" hidden="1">
      <c r="G175" s="31"/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100"/>
      <c r="V175" s="87">
        <f aca="true" t="shared" si="51" ref="V175:V187">I175+J175+K175+L175+M175+N175+O175+P175+Q175+R175+S175+T175</f>
        <v>0</v>
      </c>
    </row>
    <row r="176" spans="1:22" ht="12.75" hidden="1">
      <c r="A176" s="56"/>
      <c r="B176" s="63"/>
      <c r="C176" s="16" t="s">
        <v>22</v>
      </c>
      <c r="D176" s="16">
        <v>6470160020</v>
      </c>
      <c r="E176" s="16">
        <v>244</v>
      </c>
      <c r="F176" s="16">
        <v>225</v>
      </c>
      <c r="G176" s="31"/>
      <c r="H176" s="2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00"/>
      <c r="V176" s="87">
        <f t="shared" si="51"/>
        <v>0</v>
      </c>
    </row>
    <row r="177" spans="1:22" ht="12.75" hidden="1">
      <c r="A177" s="56"/>
      <c r="B177" s="63"/>
      <c r="C177" s="16" t="s">
        <v>22</v>
      </c>
      <c r="D177" s="16">
        <v>6470160050</v>
      </c>
      <c r="E177" s="16">
        <v>244</v>
      </c>
      <c r="F177" s="16">
        <v>225</v>
      </c>
      <c r="G177" s="31"/>
      <c r="H177" s="2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00"/>
      <c r="V177" s="87">
        <f t="shared" si="51"/>
        <v>0</v>
      </c>
    </row>
    <row r="178" spans="1:22" ht="12.75" hidden="1">
      <c r="A178" s="56"/>
      <c r="B178" s="63"/>
      <c r="C178" s="16" t="s">
        <v>22</v>
      </c>
      <c r="D178" s="16">
        <v>6470160170</v>
      </c>
      <c r="E178" s="16">
        <v>244</v>
      </c>
      <c r="F178" s="16">
        <v>225</v>
      </c>
      <c r="G178" s="31"/>
      <c r="H178" s="2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00"/>
      <c r="V178" s="87">
        <f t="shared" si="51"/>
        <v>0</v>
      </c>
    </row>
    <row r="179" spans="1:22" ht="102">
      <c r="A179" s="56" t="s">
        <v>87</v>
      </c>
      <c r="B179" s="109" t="s">
        <v>178</v>
      </c>
      <c r="C179" s="10" t="s">
        <v>22</v>
      </c>
      <c r="D179" s="38">
        <v>6310100590</v>
      </c>
      <c r="E179" s="10">
        <v>611</v>
      </c>
      <c r="F179" s="10">
        <v>111</v>
      </c>
      <c r="G179" s="10">
        <v>211</v>
      </c>
      <c r="H179" s="14">
        <f>5512200+344086</f>
        <v>5856286</v>
      </c>
      <c r="I179" s="14">
        <f>190000-87202.9</f>
        <v>102797.1</v>
      </c>
      <c r="J179" s="14">
        <f>459400+67241.03</f>
        <v>526641.03</v>
      </c>
      <c r="K179" s="14">
        <f>459400+34400</f>
        <v>493800</v>
      </c>
      <c r="L179" s="14">
        <f>459400+34400</f>
        <v>493800</v>
      </c>
      <c r="M179" s="14">
        <f>459400+87202.9+34400</f>
        <v>581002.9</v>
      </c>
      <c r="N179" s="14">
        <f>559400+34400</f>
        <v>593800</v>
      </c>
      <c r="O179" s="14">
        <f>559400+34400</f>
        <v>593800</v>
      </c>
      <c r="P179" s="14">
        <f>559400+34400-67241.03</f>
        <v>526558.97</v>
      </c>
      <c r="Q179" s="14">
        <f>459400+34400</f>
        <v>493800</v>
      </c>
      <c r="R179" s="14">
        <f>459400+34400</f>
        <v>493800</v>
      </c>
      <c r="S179" s="14">
        <f>617400-190000+34400</f>
        <v>461800</v>
      </c>
      <c r="T179" s="14">
        <f>460200+34400+86</f>
        <v>494686</v>
      </c>
      <c r="U179" s="100"/>
      <c r="V179" s="106">
        <f t="shared" si="51"/>
        <v>5856286</v>
      </c>
    </row>
    <row r="180" spans="1:22" ht="102">
      <c r="A180" s="56" t="s">
        <v>87</v>
      </c>
      <c r="B180" s="109" t="s">
        <v>179</v>
      </c>
      <c r="C180" s="10" t="s">
        <v>22</v>
      </c>
      <c r="D180" s="38">
        <v>6310100590</v>
      </c>
      <c r="E180" s="10">
        <v>611</v>
      </c>
      <c r="F180" s="10">
        <v>119</v>
      </c>
      <c r="G180" s="10">
        <v>219</v>
      </c>
      <c r="H180" s="14">
        <f>1664700+103914</f>
        <v>1768614</v>
      </c>
      <c r="I180" s="14">
        <v>55600</v>
      </c>
      <c r="J180" s="14">
        <f>138800-85343.96</f>
        <v>53456.03999999999</v>
      </c>
      <c r="K180" s="14">
        <f>138800+10300</f>
        <v>149100</v>
      </c>
      <c r="L180" s="14">
        <f>138800+10300</f>
        <v>149100</v>
      </c>
      <c r="M180" s="14">
        <f>138800+10300</f>
        <v>149100</v>
      </c>
      <c r="N180" s="14">
        <f>155400+10300</f>
        <v>165700</v>
      </c>
      <c r="O180" s="14">
        <f>155400+10300</f>
        <v>165700</v>
      </c>
      <c r="P180" s="14">
        <f>155400+10300</f>
        <v>165700</v>
      </c>
      <c r="Q180" s="14">
        <f>138800+10300</f>
        <v>149100</v>
      </c>
      <c r="R180" s="14">
        <f>138800+10300+85343.96</f>
        <v>234443.96000000002</v>
      </c>
      <c r="S180" s="14">
        <f>226700-55600+10300</f>
        <v>181400</v>
      </c>
      <c r="T180" s="14">
        <f>139000+10300+914</f>
        <v>150214</v>
      </c>
      <c r="U180" s="100"/>
      <c r="V180" s="106">
        <f t="shared" si="51"/>
        <v>1768614</v>
      </c>
    </row>
    <row r="181" spans="1:22" ht="89.25">
      <c r="A181" s="56" t="s">
        <v>87</v>
      </c>
      <c r="B181" s="48" t="s">
        <v>181</v>
      </c>
      <c r="C181" s="10" t="s">
        <v>22</v>
      </c>
      <c r="D181" s="38">
        <v>6310100590</v>
      </c>
      <c r="E181" s="10">
        <v>611</v>
      </c>
      <c r="F181" s="10">
        <v>221</v>
      </c>
      <c r="G181" s="63" t="s">
        <v>218</v>
      </c>
      <c r="H181" s="14">
        <v>45600</v>
      </c>
      <c r="I181" s="14">
        <f>3800-3338.78</f>
        <v>461.2199999999998</v>
      </c>
      <c r="J181" s="14">
        <v>3800</v>
      </c>
      <c r="K181" s="14">
        <v>3800</v>
      </c>
      <c r="L181" s="14">
        <v>3800</v>
      </c>
      <c r="M181" s="14">
        <v>3800</v>
      </c>
      <c r="N181" s="14">
        <v>3800</v>
      </c>
      <c r="O181" s="14">
        <v>3800</v>
      </c>
      <c r="P181" s="14">
        <v>3800</v>
      </c>
      <c r="Q181" s="14">
        <v>3800</v>
      </c>
      <c r="R181" s="14">
        <v>3800</v>
      </c>
      <c r="S181" s="14">
        <v>3800</v>
      </c>
      <c r="T181" s="14">
        <f>3800+3338.78</f>
        <v>7138.780000000001</v>
      </c>
      <c r="U181" s="100"/>
      <c r="V181" s="106">
        <f t="shared" si="51"/>
        <v>45600</v>
      </c>
    </row>
    <row r="182" spans="1:22" ht="114.75">
      <c r="A182" s="56" t="s">
        <v>87</v>
      </c>
      <c r="B182" s="110" t="s">
        <v>180</v>
      </c>
      <c r="C182" s="10" t="s">
        <v>22</v>
      </c>
      <c r="D182" s="38">
        <v>6310100590</v>
      </c>
      <c r="E182" s="10">
        <v>611</v>
      </c>
      <c r="F182" s="10">
        <v>223</v>
      </c>
      <c r="G182" s="63" t="s">
        <v>219</v>
      </c>
      <c r="H182" s="14">
        <v>632300</v>
      </c>
      <c r="I182" s="14">
        <f>72600-38965.79+1060.27</f>
        <v>34694.479999999996</v>
      </c>
      <c r="J182" s="14">
        <f>72600-37174.09+30000</f>
        <v>65425.91</v>
      </c>
      <c r="K182" s="14">
        <v>52600</v>
      </c>
      <c r="L182" s="14">
        <v>52600</v>
      </c>
      <c r="M182" s="14">
        <v>46500</v>
      </c>
      <c r="N182" s="14">
        <f>30000+37174.09</f>
        <v>67174.09</v>
      </c>
      <c r="O182" s="14">
        <v>30000</v>
      </c>
      <c r="P182" s="14">
        <v>30000</v>
      </c>
      <c r="Q182" s="14">
        <v>47600</v>
      </c>
      <c r="R182" s="14">
        <v>72600</v>
      </c>
      <c r="S182" s="14">
        <v>72600</v>
      </c>
      <c r="T182" s="14">
        <f>52600+38965.79-1060.27-30000</f>
        <v>60505.520000000004</v>
      </c>
      <c r="U182" s="100"/>
      <c r="V182" s="106">
        <f t="shared" si="51"/>
        <v>632300</v>
      </c>
    </row>
    <row r="183" spans="1:22" ht="114.75">
      <c r="A183" s="56" t="s">
        <v>87</v>
      </c>
      <c r="B183" s="48" t="s">
        <v>182</v>
      </c>
      <c r="C183" s="10" t="s">
        <v>22</v>
      </c>
      <c r="D183" s="38">
        <v>6310100590</v>
      </c>
      <c r="E183" s="10">
        <v>611</v>
      </c>
      <c r="F183" s="10">
        <v>290</v>
      </c>
      <c r="G183" s="63" t="s">
        <v>220</v>
      </c>
      <c r="H183" s="14">
        <v>100000</v>
      </c>
      <c r="I183" s="14">
        <f>40000-30919</f>
        <v>9081</v>
      </c>
      <c r="J183" s="14">
        <v>8.73</v>
      </c>
      <c r="K183" s="14">
        <v>9000</v>
      </c>
      <c r="L183" s="14">
        <v>13000</v>
      </c>
      <c r="M183" s="14">
        <v>9000</v>
      </c>
      <c r="N183" s="14">
        <v>17500</v>
      </c>
      <c r="O183" s="14">
        <f>30919-8.73</f>
        <v>30910.27</v>
      </c>
      <c r="P183" s="14">
        <v>9500</v>
      </c>
      <c r="Q183" s="14">
        <v>2000</v>
      </c>
      <c r="R183" s="14">
        <v>0</v>
      </c>
      <c r="S183" s="14">
        <v>0</v>
      </c>
      <c r="T183" s="14">
        <v>0</v>
      </c>
      <c r="U183" s="100"/>
      <c r="V183" s="106">
        <f t="shared" si="51"/>
        <v>100000</v>
      </c>
    </row>
    <row r="184" spans="1:22" ht="114.75">
      <c r="A184" s="56" t="s">
        <v>87</v>
      </c>
      <c r="B184" s="48" t="s">
        <v>183</v>
      </c>
      <c r="C184" s="10" t="s">
        <v>22</v>
      </c>
      <c r="D184" s="38">
        <v>6310100590</v>
      </c>
      <c r="E184" s="10">
        <v>611</v>
      </c>
      <c r="F184" s="10">
        <v>340</v>
      </c>
      <c r="G184" s="63" t="s">
        <v>221</v>
      </c>
      <c r="H184" s="14">
        <v>678600</v>
      </c>
      <c r="I184" s="14">
        <f>60000+30345.75+37290.45</f>
        <v>127636.2</v>
      </c>
      <c r="J184" s="14">
        <v>54665.17</v>
      </c>
      <c r="K184" s="14">
        <v>53400</v>
      </c>
      <c r="L184" s="14">
        <v>53400</v>
      </c>
      <c r="M184" s="14">
        <v>53400</v>
      </c>
      <c r="N184" s="14">
        <v>53400</v>
      </c>
      <c r="O184" s="14">
        <v>53400</v>
      </c>
      <c r="P184" s="14">
        <v>53400</v>
      </c>
      <c r="Q184" s="14">
        <v>53400</v>
      </c>
      <c r="R184" s="14">
        <v>53400</v>
      </c>
      <c r="S184" s="14">
        <v>53400</v>
      </c>
      <c r="T184" s="14">
        <f>53400+854.25-37290.45+53400-54665.17</f>
        <v>15698.630000000005</v>
      </c>
      <c r="U184" s="100"/>
      <c r="V184" s="106">
        <f t="shared" si="51"/>
        <v>678600</v>
      </c>
    </row>
    <row r="185" spans="1:22" ht="114.75">
      <c r="A185" s="56" t="s">
        <v>87</v>
      </c>
      <c r="B185" s="48" t="s">
        <v>183</v>
      </c>
      <c r="C185" s="10" t="s">
        <v>22</v>
      </c>
      <c r="D185" s="38">
        <v>6310100590</v>
      </c>
      <c r="E185" s="10">
        <v>611</v>
      </c>
      <c r="F185" s="10"/>
      <c r="G185" s="63" t="s">
        <v>222</v>
      </c>
      <c r="H185" s="14">
        <f>450360+40</f>
        <v>450400</v>
      </c>
      <c r="I185" s="14">
        <v>91530</v>
      </c>
      <c r="J185" s="14">
        <f>32600-23096.88+30000</f>
        <v>39503.119999999995</v>
      </c>
      <c r="K185" s="14">
        <v>32600</v>
      </c>
      <c r="L185" s="14">
        <v>32600</v>
      </c>
      <c r="M185" s="14">
        <v>32600</v>
      </c>
      <c r="N185" s="14">
        <v>32600</v>
      </c>
      <c r="O185" s="14">
        <f>32600+23096.88-30000</f>
        <v>25696.880000000005</v>
      </c>
      <c r="P185" s="14">
        <v>32600</v>
      </c>
      <c r="Q185" s="14">
        <v>32600</v>
      </c>
      <c r="R185" s="14">
        <v>32600</v>
      </c>
      <c r="S185" s="14">
        <v>32600</v>
      </c>
      <c r="T185" s="14">
        <f>32600+230+40</f>
        <v>32870</v>
      </c>
      <c r="U185" s="100"/>
      <c r="V185" s="106">
        <f t="shared" si="51"/>
        <v>450400</v>
      </c>
    </row>
    <row r="186" spans="1:22" ht="114.75" hidden="1">
      <c r="A186" s="56" t="s">
        <v>87</v>
      </c>
      <c r="B186" s="48" t="s">
        <v>184</v>
      </c>
      <c r="C186" s="10" t="s">
        <v>22</v>
      </c>
      <c r="D186" s="38">
        <v>6310100590</v>
      </c>
      <c r="E186" s="10">
        <v>611</v>
      </c>
      <c r="F186" s="10">
        <v>340</v>
      </c>
      <c r="G186" s="63" t="s">
        <v>223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00"/>
      <c r="V186" s="106">
        <f t="shared" si="51"/>
        <v>0</v>
      </c>
    </row>
    <row r="187" spans="1:22" ht="114.75">
      <c r="A187" s="56" t="s">
        <v>87</v>
      </c>
      <c r="B187" s="48" t="s">
        <v>184</v>
      </c>
      <c r="C187" s="10" t="s">
        <v>22</v>
      </c>
      <c r="D187" s="38">
        <v>6310100590</v>
      </c>
      <c r="E187" s="10">
        <v>611</v>
      </c>
      <c r="F187" s="10">
        <v>226</v>
      </c>
      <c r="G187" s="63" t="s">
        <v>224</v>
      </c>
      <c r="H187" s="14">
        <f>80000+32000+100000+10000</f>
        <v>222000</v>
      </c>
      <c r="I187" s="14">
        <f>18500+6700</f>
        <v>25200</v>
      </c>
      <c r="J187" s="14">
        <f>18500-8900</f>
        <v>9600</v>
      </c>
      <c r="K187" s="14">
        <v>18500</v>
      </c>
      <c r="L187" s="14">
        <v>18500</v>
      </c>
      <c r="M187" s="14">
        <f>18500+8900</f>
        <v>27400</v>
      </c>
      <c r="N187" s="14">
        <v>18500</v>
      </c>
      <c r="O187" s="14">
        <v>18500</v>
      </c>
      <c r="P187" s="14">
        <v>18500</v>
      </c>
      <c r="Q187" s="14">
        <v>18500</v>
      </c>
      <c r="R187" s="14">
        <v>18500</v>
      </c>
      <c r="S187" s="14">
        <v>18500</v>
      </c>
      <c r="T187" s="14">
        <f>18500-6700</f>
        <v>11800</v>
      </c>
      <c r="U187" s="100"/>
      <c r="V187" s="106">
        <f t="shared" si="51"/>
        <v>222000</v>
      </c>
    </row>
    <row r="188" spans="1:22" ht="73.5" customHeight="1">
      <c r="A188" s="56" t="s">
        <v>87</v>
      </c>
      <c r="B188" s="90" t="s">
        <v>154</v>
      </c>
      <c r="C188" s="37" t="s">
        <v>22</v>
      </c>
      <c r="D188" s="37">
        <v>63200000000</v>
      </c>
      <c r="E188" s="37"/>
      <c r="F188" s="37"/>
      <c r="G188" s="90"/>
      <c r="H188" s="13">
        <f>H189+H190+H191+H192+H193</f>
        <v>1281220.02</v>
      </c>
      <c r="I188" s="13">
        <f aca="true" t="shared" si="52" ref="I188:T188">I189+I190+I191+I192+I193</f>
        <v>37013</v>
      </c>
      <c r="J188" s="13">
        <f t="shared" si="52"/>
        <v>165680.08000000002</v>
      </c>
      <c r="K188" s="13">
        <f t="shared" si="52"/>
        <v>81500</v>
      </c>
      <c r="L188" s="13">
        <f t="shared" si="52"/>
        <v>81500</v>
      </c>
      <c r="M188" s="13">
        <f t="shared" si="52"/>
        <v>81500</v>
      </c>
      <c r="N188" s="13">
        <f t="shared" si="52"/>
        <v>81500</v>
      </c>
      <c r="O188" s="13">
        <f t="shared" si="52"/>
        <v>381500</v>
      </c>
      <c r="P188" s="13">
        <f t="shared" si="52"/>
        <v>81500</v>
      </c>
      <c r="Q188" s="13">
        <f t="shared" si="52"/>
        <v>81500</v>
      </c>
      <c r="R188" s="13">
        <f t="shared" si="52"/>
        <v>81500</v>
      </c>
      <c r="S188" s="13">
        <f t="shared" si="52"/>
        <v>81500</v>
      </c>
      <c r="T188" s="13">
        <f t="shared" si="52"/>
        <v>45026.94</v>
      </c>
      <c r="U188" s="100"/>
      <c r="V188" s="87">
        <f>SUM(I188:T188)</f>
        <v>1281220.02</v>
      </c>
    </row>
    <row r="189" spans="1:22" ht="25.5" hidden="1">
      <c r="A189" s="56" t="s">
        <v>87</v>
      </c>
      <c r="B189" s="110" t="s">
        <v>168</v>
      </c>
      <c r="C189" s="10" t="s">
        <v>22</v>
      </c>
      <c r="D189" s="38">
        <v>6320110340</v>
      </c>
      <c r="E189" s="10">
        <v>247</v>
      </c>
      <c r="F189" s="10">
        <v>223</v>
      </c>
      <c r="G189" s="63"/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00"/>
      <c r="V189" s="15">
        <f>T189+S189+R189+Q189+P189+O189+N189+M189+L189+K189+J189+I189</f>
        <v>0</v>
      </c>
    </row>
    <row r="190" spans="1:22" ht="63.75">
      <c r="A190" s="56" t="s">
        <v>87</v>
      </c>
      <c r="B190" s="48" t="s">
        <v>157</v>
      </c>
      <c r="C190" s="10" t="s">
        <v>22</v>
      </c>
      <c r="D190" s="38">
        <v>6320110340</v>
      </c>
      <c r="E190" s="10">
        <v>244</v>
      </c>
      <c r="F190" s="10">
        <v>226</v>
      </c>
      <c r="G190" s="63" t="s">
        <v>225</v>
      </c>
      <c r="H190" s="14">
        <v>177987.02</v>
      </c>
      <c r="I190" s="14">
        <v>27500</v>
      </c>
      <c r="J190" s="14">
        <v>13600</v>
      </c>
      <c r="K190" s="14">
        <v>13600</v>
      </c>
      <c r="L190" s="14">
        <v>13600</v>
      </c>
      <c r="M190" s="14">
        <v>13600</v>
      </c>
      <c r="N190" s="14">
        <v>13600</v>
      </c>
      <c r="O190" s="14">
        <v>13600</v>
      </c>
      <c r="P190" s="14">
        <v>13600</v>
      </c>
      <c r="Q190" s="14">
        <v>13600</v>
      </c>
      <c r="R190" s="14">
        <v>13600</v>
      </c>
      <c r="S190" s="14">
        <v>13600</v>
      </c>
      <c r="T190" s="14">
        <f>13600+887.02</f>
        <v>14487.02</v>
      </c>
      <c r="U190" s="100"/>
      <c r="V190" s="15">
        <f>T190+S190+R190+Q190+P190+O190+N190+M190+L190+K190+J190+I190</f>
        <v>177987.02000000002</v>
      </c>
    </row>
    <row r="191" spans="1:22" ht="51">
      <c r="A191" s="56" t="s">
        <v>87</v>
      </c>
      <c r="B191" s="48" t="s">
        <v>157</v>
      </c>
      <c r="C191" s="10" t="s">
        <v>22</v>
      </c>
      <c r="D191" s="38">
        <v>6320110340</v>
      </c>
      <c r="E191" s="10">
        <v>244</v>
      </c>
      <c r="F191" s="10">
        <v>225</v>
      </c>
      <c r="G191" s="63" t="s">
        <v>224</v>
      </c>
      <c r="H191" s="14">
        <v>437720</v>
      </c>
      <c r="I191" s="14">
        <v>7500</v>
      </c>
      <c r="J191" s="14">
        <f>39000+39380.08</f>
        <v>78380.08</v>
      </c>
      <c r="K191" s="14">
        <v>39000</v>
      </c>
      <c r="L191" s="14">
        <v>39000</v>
      </c>
      <c r="M191" s="14">
        <v>39000</v>
      </c>
      <c r="N191" s="14">
        <v>39000</v>
      </c>
      <c r="O191" s="14">
        <v>39000</v>
      </c>
      <c r="P191" s="14">
        <v>39000</v>
      </c>
      <c r="Q191" s="14">
        <v>39000</v>
      </c>
      <c r="R191" s="14">
        <v>39000</v>
      </c>
      <c r="S191" s="14">
        <v>39000</v>
      </c>
      <c r="T191" s="14">
        <f>39000+1220-39380.08</f>
        <v>839.9199999999983</v>
      </c>
      <c r="U191" s="100"/>
      <c r="V191" s="15">
        <f>T191+S191+R191+Q191+P191+O191+N191+M191+L191+K191+J191+I191</f>
        <v>437720</v>
      </c>
    </row>
    <row r="192" spans="1:22" ht="38.25">
      <c r="A192" s="56" t="s">
        <v>87</v>
      </c>
      <c r="B192" s="48" t="s">
        <v>158</v>
      </c>
      <c r="C192" s="10" t="s">
        <v>22</v>
      </c>
      <c r="D192" s="38">
        <v>6320110340</v>
      </c>
      <c r="E192" s="10">
        <v>244</v>
      </c>
      <c r="F192" s="10">
        <v>340</v>
      </c>
      <c r="G192" s="63" t="s">
        <v>222</v>
      </c>
      <c r="H192" s="14">
        <f>813513-448000</f>
        <v>365513</v>
      </c>
      <c r="I192" s="14">
        <v>2013</v>
      </c>
      <c r="J192" s="14">
        <v>73700</v>
      </c>
      <c r="K192" s="14">
        <f>73700-44800</f>
        <v>28900</v>
      </c>
      <c r="L192" s="14">
        <f aca="true" t="shared" si="53" ref="L192:S192">73700-44800</f>
        <v>28900</v>
      </c>
      <c r="M192" s="14">
        <f t="shared" si="53"/>
        <v>28900</v>
      </c>
      <c r="N192" s="14">
        <f t="shared" si="53"/>
        <v>28900</v>
      </c>
      <c r="O192" s="14">
        <f t="shared" si="53"/>
        <v>28900</v>
      </c>
      <c r="P192" s="14">
        <f t="shared" si="53"/>
        <v>28900</v>
      </c>
      <c r="Q192" s="14">
        <f t="shared" si="53"/>
        <v>28900</v>
      </c>
      <c r="R192" s="14">
        <f t="shared" si="53"/>
        <v>28900</v>
      </c>
      <c r="S192" s="14">
        <f t="shared" si="53"/>
        <v>28900</v>
      </c>
      <c r="T192" s="14">
        <f>73700-44800+800</f>
        <v>29700</v>
      </c>
      <c r="U192" s="100"/>
      <c r="V192" s="15">
        <f>T192+S192+R192+Q192+P192+O192+N192+M192+L192+K192+J192+I192</f>
        <v>365513</v>
      </c>
    </row>
    <row r="193" spans="1:22" ht="30" customHeight="1">
      <c r="A193" s="56" t="s">
        <v>87</v>
      </c>
      <c r="B193" s="48" t="s">
        <v>157</v>
      </c>
      <c r="C193" s="10" t="s">
        <v>22</v>
      </c>
      <c r="D193" s="38">
        <v>6320210380</v>
      </c>
      <c r="E193" s="10">
        <v>244</v>
      </c>
      <c r="F193" s="10"/>
      <c r="G193" s="63" t="s">
        <v>226</v>
      </c>
      <c r="H193" s="14">
        <v>300000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300000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00"/>
      <c r="V193" s="15">
        <f>T193+S193+R193+Q193+P193+O193+N193+M193+L193+K193+J193+I193</f>
        <v>300000</v>
      </c>
    </row>
    <row r="194" spans="1:22" ht="12.75">
      <c r="A194" s="56"/>
      <c r="B194" s="63"/>
      <c r="C194" s="16"/>
      <c r="D194" s="16"/>
      <c r="E194" s="10"/>
      <c r="F194" s="16"/>
      <c r="G194" s="31"/>
      <c r="H194" s="29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 t="s">
        <v>94</v>
      </c>
      <c r="T194" s="14"/>
      <c r="U194" s="100"/>
      <c r="V194" s="15"/>
    </row>
    <row r="195" spans="1:22" ht="80.25" customHeight="1">
      <c r="A195" s="62" t="s">
        <v>87</v>
      </c>
      <c r="B195" s="90" t="s">
        <v>127</v>
      </c>
      <c r="C195" s="37" t="s">
        <v>22</v>
      </c>
      <c r="D195" s="37">
        <v>63300000000</v>
      </c>
      <c r="E195" s="37"/>
      <c r="F195" s="37"/>
      <c r="G195" s="37"/>
      <c r="H195" s="13">
        <f aca="true" t="shared" si="54" ref="H195:T195">H196</f>
        <v>538000</v>
      </c>
      <c r="I195" s="13">
        <f t="shared" si="54"/>
        <v>345000</v>
      </c>
      <c r="J195" s="13">
        <f t="shared" si="54"/>
        <v>192555</v>
      </c>
      <c r="K195" s="13">
        <f t="shared" si="54"/>
        <v>0</v>
      </c>
      <c r="L195" s="13">
        <f t="shared" si="54"/>
        <v>445</v>
      </c>
      <c r="M195" s="13">
        <f t="shared" si="54"/>
        <v>0</v>
      </c>
      <c r="N195" s="13">
        <f t="shared" si="54"/>
        <v>0</v>
      </c>
      <c r="O195" s="13">
        <f t="shared" si="54"/>
        <v>0</v>
      </c>
      <c r="P195" s="13">
        <f t="shared" si="54"/>
        <v>0</v>
      </c>
      <c r="Q195" s="13">
        <f t="shared" si="54"/>
        <v>0</v>
      </c>
      <c r="R195" s="13">
        <f t="shared" si="54"/>
        <v>0</v>
      </c>
      <c r="S195" s="13">
        <f t="shared" si="54"/>
        <v>0</v>
      </c>
      <c r="T195" s="13">
        <f t="shared" si="54"/>
        <v>0</v>
      </c>
      <c r="U195" s="101"/>
      <c r="V195" s="87">
        <f aca="true" t="shared" si="55" ref="V195:V207">SUM(I195:T195)</f>
        <v>538000</v>
      </c>
    </row>
    <row r="196" spans="1:22" ht="24.75" customHeight="1">
      <c r="A196" s="56" t="s">
        <v>87</v>
      </c>
      <c r="B196" s="48" t="s">
        <v>158</v>
      </c>
      <c r="C196" s="10" t="s">
        <v>22</v>
      </c>
      <c r="D196" s="10">
        <v>6330110350</v>
      </c>
      <c r="E196" s="10">
        <v>244</v>
      </c>
      <c r="F196" s="10">
        <v>225</v>
      </c>
      <c r="G196" s="31"/>
      <c r="H196" s="14">
        <f>525000+13000</f>
        <v>538000</v>
      </c>
      <c r="I196" s="14">
        <v>345000</v>
      </c>
      <c r="J196" s="14">
        <v>192555</v>
      </c>
      <c r="K196" s="14">
        <v>0</v>
      </c>
      <c r="L196" s="14">
        <f>162500-69500-92555</f>
        <v>445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00"/>
      <c r="V196" s="15">
        <f t="shared" si="55"/>
        <v>538000</v>
      </c>
    </row>
    <row r="197" spans="1:22" ht="12.75" hidden="1">
      <c r="A197" s="56"/>
      <c r="B197" s="23"/>
      <c r="C197" s="16"/>
      <c r="D197" s="16"/>
      <c r="E197" s="16"/>
      <c r="F197" s="16"/>
      <c r="G197" s="31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00"/>
      <c r="V197" s="15">
        <f t="shared" si="55"/>
        <v>0</v>
      </c>
    </row>
    <row r="198" spans="1:22" ht="12.75" hidden="1">
      <c r="A198" s="56"/>
      <c r="B198" s="23"/>
      <c r="C198" s="16"/>
      <c r="D198" s="16"/>
      <c r="E198" s="16"/>
      <c r="F198" s="16"/>
      <c r="G198" s="31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00"/>
      <c r="V198" s="15">
        <f t="shared" si="55"/>
        <v>0</v>
      </c>
    </row>
    <row r="199" spans="1:22" ht="12.75" hidden="1">
      <c r="A199" s="56"/>
      <c r="B199" s="23"/>
      <c r="C199" s="16"/>
      <c r="D199" s="16"/>
      <c r="E199" s="16"/>
      <c r="F199" s="16"/>
      <c r="G199" s="31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00"/>
      <c r="V199" s="15">
        <f t="shared" si="55"/>
        <v>0</v>
      </c>
    </row>
    <row r="200" spans="1:22" ht="12.75" hidden="1">
      <c r="A200" s="56"/>
      <c r="B200" s="23"/>
      <c r="C200" s="16"/>
      <c r="D200" s="16"/>
      <c r="E200" s="16"/>
      <c r="F200" s="16"/>
      <c r="G200" s="31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00"/>
      <c r="V200" s="15">
        <f t="shared" si="55"/>
        <v>0</v>
      </c>
    </row>
    <row r="201" spans="1:22" ht="12.75" hidden="1">
      <c r="A201" s="56"/>
      <c r="B201" s="23"/>
      <c r="C201" s="16"/>
      <c r="D201" s="16"/>
      <c r="E201" s="16"/>
      <c r="F201" s="16"/>
      <c r="G201" s="31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00"/>
      <c r="V201" s="15">
        <f t="shared" si="55"/>
        <v>0</v>
      </c>
    </row>
    <row r="202" spans="1:22" ht="12.75" hidden="1">
      <c r="A202" s="56"/>
      <c r="B202" s="23"/>
      <c r="C202" s="16"/>
      <c r="D202" s="16"/>
      <c r="E202" s="16"/>
      <c r="F202" s="16"/>
      <c r="G202" s="31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00"/>
      <c r="V202" s="15">
        <f t="shared" si="55"/>
        <v>0</v>
      </c>
    </row>
    <row r="203" spans="1:22" ht="12.75" hidden="1">
      <c r="A203" s="56"/>
      <c r="B203" s="23"/>
      <c r="C203" s="16"/>
      <c r="D203" s="16"/>
      <c r="E203" s="16"/>
      <c r="F203" s="16"/>
      <c r="G203" s="31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00"/>
      <c r="V203" s="15">
        <f t="shared" si="55"/>
        <v>0</v>
      </c>
    </row>
    <row r="204" spans="1:22" ht="12.75" hidden="1">
      <c r="A204" s="56"/>
      <c r="B204" s="23"/>
      <c r="C204" s="16"/>
      <c r="D204" s="16"/>
      <c r="E204" s="16"/>
      <c r="F204" s="16"/>
      <c r="G204" s="31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00"/>
      <c r="V204" s="15">
        <f t="shared" si="55"/>
        <v>0</v>
      </c>
    </row>
    <row r="205" spans="1:22" ht="12.75" hidden="1">
      <c r="A205" s="56"/>
      <c r="B205" s="23"/>
      <c r="C205" s="16"/>
      <c r="D205" s="16"/>
      <c r="E205" s="16"/>
      <c r="F205" s="16"/>
      <c r="G205" s="31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00"/>
      <c r="V205" s="15">
        <f t="shared" si="55"/>
        <v>0</v>
      </c>
    </row>
    <row r="206" spans="1:22" ht="12.75" hidden="1">
      <c r="A206" s="56"/>
      <c r="B206" s="23"/>
      <c r="C206" s="16"/>
      <c r="D206" s="16"/>
      <c r="E206" s="16"/>
      <c r="F206" s="16"/>
      <c r="G206" s="31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00"/>
      <c r="V206" s="15">
        <f t="shared" si="55"/>
        <v>0</v>
      </c>
    </row>
    <row r="207" spans="1:22" ht="12.75">
      <c r="A207" s="60"/>
      <c r="B207" s="43"/>
      <c r="C207" s="12"/>
      <c r="D207" s="12"/>
      <c r="E207" s="12"/>
      <c r="F207" s="12"/>
      <c r="G207" s="31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104"/>
      <c r="V207" s="15">
        <f t="shared" si="55"/>
        <v>0</v>
      </c>
    </row>
    <row r="208" spans="1:22" ht="12.75">
      <c r="A208" s="60"/>
      <c r="B208" s="25" t="s">
        <v>45</v>
      </c>
      <c r="C208" s="25" t="s">
        <v>22</v>
      </c>
      <c r="D208" s="12"/>
      <c r="E208" s="12"/>
      <c r="F208" s="12"/>
      <c r="G208" s="31"/>
      <c r="H208" s="30">
        <f aca="true" t="shared" si="56" ref="H208:T208">H170+H195+H174+H188</f>
        <v>11623020.02</v>
      </c>
      <c r="I208" s="30">
        <f t="shared" si="56"/>
        <v>829013</v>
      </c>
      <c r="J208" s="30">
        <f t="shared" si="56"/>
        <v>1111335.08</v>
      </c>
      <c r="K208" s="30">
        <f t="shared" si="56"/>
        <v>894300</v>
      </c>
      <c r="L208" s="30">
        <f t="shared" si="56"/>
        <v>898745</v>
      </c>
      <c r="M208" s="30">
        <f t="shared" si="56"/>
        <v>984302.9</v>
      </c>
      <c r="N208" s="30">
        <f t="shared" si="56"/>
        <v>1033974.09</v>
      </c>
      <c r="O208" s="30">
        <f t="shared" si="56"/>
        <v>1303307.15</v>
      </c>
      <c r="P208" s="30">
        <f t="shared" si="56"/>
        <v>921558.97</v>
      </c>
      <c r="Q208" s="30">
        <f t="shared" si="56"/>
        <v>932300</v>
      </c>
      <c r="R208" s="30">
        <f t="shared" si="56"/>
        <v>990643.96</v>
      </c>
      <c r="S208" s="30">
        <f t="shared" si="56"/>
        <v>905600</v>
      </c>
      <c r="T208" s="30">
        <f t="shared" si="56"/>
        <v>817939.8700000001</v>
      </c>
      <c r="U208" s="102"/>
      <c r="V208" s="47">
        <f>V195+V188+V174+V170</f>
        <v>11623020.02</v>
      </c>
    </row>
    <row r="209" spans="1:22" ht="12.75">
      <c r="A209" s="60"/>
      <c r="B209" s="43"/>
      <c r="C209" s="12"/>
      <c r="D209" s="12"/>
      <c r="E209" s="12"/>
      <c r="F209" s="12"/>
      <c r="G209" s="31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104"/>
      <c r="V209" s="15">
        <f>SUM(I209:T209)</f>
        <v>0</v>
      </c>
    </row>
    <row r="210" spans="1:22" ht="13.5" customHeight="1">
      <c r="A210" s="66"/>
      <c r="B210" s="92" t="s">
        <v>62</v>
      </c>
      <c r="C210" s="68"/>
      <c r="D210" s="68"/>
      <c r="E210" s="68"/>
      <c r="F210" s="68"/>
      <c r="G210" s="69"/>
      <c r="H210" s="42">
        <f aca="true" t="shared" si="57" ref="H210:T210">H208+H168</f>
        <v>11843020.02</v>
      </c>
      <c r="I210" s="42">
        <f t="shared" si="57"/>
        <v>829013</v>
      </c>
      <c r="J210" s="42">
        <f t="shared" si="57"/>
        <v>1130835.08</v>
      </c>
      <c r="K210" s="42">
        <f t="shared" si="57"/>
        <v>894300</v>
      </c>
      <c r="L210" s="42">
        <f t="shared" si="57"/>
        <v>898745</v>
      </c>
      <c r="M210" s="42">
        <f t="shared" si="57"/>
        <v>984302.9</v>
      </c>
      <c r="N210" s="42">
        <f t="shared" si="57"/>
        <v>1033974.09</v>
      </c>
      <c r="O210" s="42">
        <f t="shared" si="57"/>
        <v>1353307.15</v>
      </c>
      <c r="P210" s="42">
        <f t="shared" si="57"/>
        <v>971558.97</v>
      </c>
      <c r="Q210" s="42">
        <f t="shared" si="57"/>
        <v>1011100</v>
      </c>
      <c r="R210" s="42">
        <f t="shared" si="57"/>
        <v>990643.96</v>
      </c>
      <c r="S210" s="42">
        <f t="shared" si="57"/>
        <v>915600</v>
      </c>
      <c r="T210" s="42">
        <f t="shared" si="57"/>
        <v>829639.8700000001</v>
      </c>
      <c r="U210" s="104"/>
      <c r="V210" s="50">
        <f>V208+V168</f>
        <v>11843020.02</v>
      </c>
    </row>
    <row r="211" spans="1:22" ht="13.5" customHeight="1">
      <c r="A211" s="60"/>
      <c r="B211" s="43"/>
      <c r="C211" s="12"/>
      <c r="D211" s="12"/>
      <c r="E211" s="12"/>
      <c r="F211" s="12"/>
      <c r="G211" s="31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104"/>
      <c r="V211" s="50"/>
    </row>
    <row r="212" spans="1:22" ht="37.5" customHeight="1">
      <c r="A212" s="62" t="s">
        <v>87</v>
      </c>
      <c r="B212" s="90" t="s">
        <v>49</v>
      </c>
      <c r="C212" s="37" t="s">
        <v>106</v>
      </c>
      <c r="D212" s="37">
        <v>5230000000</v>
      </c>
      <c r="E212" s="37"/>
      <c r="F212" s="37"/>
      <c r="G212" s="37"/>
      <c r="H212" s="13">
        <f aca="true" t="shared" si="58" ref="H212:T212">H213</f>
        <v>54000</v>
      </c>
      <c r="I212" s="13">
        <f t="shared" si="58"/>
        <v>0</v>
      </c>
      <c r="J212" s="13">
        <f t="shared" si="58"/>
        <v>0</v>
      </c>
      <c r="K212" s="13">
        <f t="shared" si="58"/>
        <v>0</v>
      </c>
      <c r="L212" s="13">
        <f t="shared" si="58"/>
        <v>0</v>
      </c>
      <c r="M212" s="13">
        <f t="shared" si="58"/>
        <v>0</v>
      </c>
      <c r="N212" s="13">
        <f t="shared" si="58"/>
        <v>54000</v>
      </c>
      <c r="O212" s="13">
        <f t="shared" si="58"/>
        <v>0</v>
      </c>
      <c r="P212" s="13">
        <f t="shared" si="58"/>
        <v>0</v>
      </c>
      <c r="Q212" s="13">
        <f t="shared" si="58"/>
        <v>0</v>
      </c>
      <c r="R212" s="13">
        <f t="shared" si="58"/>
        <v>0</v>
      </c>
      <c r="S212" s="13">
        <f t="shared" si="58"/>
        <v>0</v>
      </c>
      <c r="T212" s="13">
        <f t="shared" si="58"/>
        <v>0</v>
      </c>
      <c r="U212" s="104"/>
      <c r="V212" s="125">
        <f>SUM(I212:T212)</f>
        <v>54000</v>
      </c>
    </row>
    <row r="213" spans="1:22" s="124" customFormat="1" ht="33.75" customHeight="1">
      <c r="A213" s="60" t="s">
        <v>87</v>
      </c>
      <c r="B213" s="48" t="s">
        <v>157</v>
      </c>
      <c r="C213" s="10" t="s">
        <v>106</v>
      </c>
      <c r="D213" s="10">
        <v>5210200590</v>
      </c>
      <c r="E213" s="10">
        <v>244</v>
      </c>
      <c r="F213" s="31"/>
      <c r="G213" s="31"/>
      <c r="H213" s="14">
        <v>54000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54000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23"/>
      <c r="V213" s="77">
        <f>K213</f>
        <v>0</v>
      </c>
    </row>
    <row r="214" spans="1:22" ht="13.5" customHeight="1">
      <c r="A214" s="60"/>
      <c r="B214" s="43"/>
      <c r="C214" s="12"/>
      <c r="D214" s="12"/>
      <c r="E214" s="31"/>
      <c r="F214" s="31"/>
      <c r="G214" s="31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104"/>
      <c r="V214" s="77">
        <f>K214</f>
        <v>0</v>
      </c>
    </row>
    <row r="215" spans="1:22" s="3" customFormat="1" ht="51">
      <c r="A215" s="62" t="s">
        <v>87</v>
      </c>
      <c r="B215" s="90" t="s">
        <v>52</v>
      </c>
      <c r="C215" s="37" t="s">
        <v>106</v>
      </c>
      <c r="D215" s="37">
        <v>5230000000</v>
      </c>
      <c r="E215" s="37"/>
      <c r="F215" s="37"/>
      <c r="G215" s="37"/>
      <c r="H215" s="13">
        <f>H216</f>
        <v>20000</v>
      </c>
      <c r="I215" s="13">
        <v>0</v>
      </c>
      <c r="J215" s="13">
        <v>0</v>
      </c>
      <c r="K215" s="13">
        <f>K216</f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01"/>
      <c r="V215" s="87">
        <f>V216</f>
        <v>20000</v>
      </c>
    </row>
    <row r="216" spans="1:22" ht="25.5">
      <c r="A216" s="56" t="s">
        <v>87</v>
      </c>
      <c r="B216" s="48" t="s">
        <v>157</v>
      </c>
      <c r="C216" s="10" t="s">
        <v>106</v>
      </c>
      <c r="D216" s="23">
        <v>5230200590</v>
      </c>
      <c r="E216" s="10">
        <v>244</v>
      </c>
      <c r="F216" s="10">
        <v>226</v>
      </c>
      <c r="G216" s="31"/>
      <c r="H216" s="14">
        <v>20000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20000</v>
      </c>
      <c r="T216" s="14">
        <v>0</v>
      </c>
      <c r="U216" s="100"/>
      <c r="V216" s="15">
        <f>SUM(I216:T216)</f>
        <v>20000</v>
      </c>
    </row>
    <row r="217" spans="1:22" ht="51">
      <c r="A217" s="62" t="s">
        <v>87</v>
      </c>
      <c r="B217" s="90" t="s">
        <v>118</v>
      </c>
      <c r="C217" s="37" t="s">
        <v>106</v>
      </c>
      <c r="D217" s="37">
        <v>6400000000</v>
      </c>
      <c r="E217" s="37"/>
      <c r="F217" s="37"/>
      <c r="G217" s="37"/>
      <c r="H217" s="13">
        <f aca="true" t="shared" si="59" ref="H217:T217">H218</f>
        <v>20000</v>
      </c>
      <c r="I217" s="13">
        <f t="shared" si="59"/>
        <v>0</v>
      </c>
      <c r="J217" s="13">
        <f t="shared" si="59"/>
        <v>0</v>
      </c>
      <c r="K217" s="13">
        <f t="shared" si="59"/>
        <v>0</v>
      </c>
      <c r="L217" s="13">
        <f t="shared" si="59"/>
        <v>0</v>
      </c>
      <c r="M217" s="13">
        <f t="shared" si="59"/>
        <v>0</v>
      </c>
      <c r="N217" s="13">
        <f t="shared" si="59"/>
        <v>0</v>
      </c>
      <c r="O217" s="13">
        <f t="shared" si="59"/>
        <v>0</v>
      </c>
      <c r="P217" s="13">
        <f t="shared" si="59"/>
        <v>0</v>
      </c>
      <c r="Q217" s="13">
        <f t="shared" si="59"/>
        <v>0</v>
      </c>
      <c r="R217" s="13">
        <f t="shared" si="59"/>
        <v>0</v>
      </c>
      <c r="S217" s="13">
        <f t="shared" si="59"/>
        <v>20000</v>
      </c>
      <c r="T217" s="13">
        <f t="shared" si="59"/>
        <v>0</v>
      </c>
      <c r="U217" s="101"/>
      <c r="V217" s="87">
        <f>SUM(I217:T217)</f>
        <v>20000</v>
      </c>
    </row>
    <row r="218" spans="1:22" ht="25.5">
      <c r="A218" s="56" t="s">
        <v>87</v>
      </c>
      <c r="B218" s="48" t="s">
        <v>157</v>
      </c>
      <c r="C218" s="10" t="s">
        <v>106</v>
      </c>
      <c r="D218" s="10">
        <v>6410110120</v>
      </c>
      <c r="E218" s="10">
        <v>244</v>
      </c>
      <c r="F218" s="10">
        <v>226</v>
      </c>
      <c r="G218" s="14"/>
      <c r="H218" s="14">
        <v>20000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20000</v>
      </c>
      <c r="T218" s="14">
        <v>0</v>
      </c>
      <c r="U218" s="100"/>
      <c r="V218" s="15">
        <f>SUM(I218:T218)</f>
        <v>20000</v>
      </c>
    </row>
    <row r="219" spans="1:22" ht="16.5" customHeight="1">
      <c r="A219" s="56"/>
      <c r="B219" s="23"/>
      <c r="C219" s="10"/>
      <c r="D219" s="10"/>
      <c r="E219" s="10"/>
      <c r="F219" s="10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00"/>
      <c r="V219" s="15">
        <f>SUM(I219:T219)</f>
        <v>0</v>
      </c>
    </row>
    <row r="220" spans="1:22" ht="12.75">
      <c r="A220" s="56"/>
      <c r="B220" s="25" t="s">
        <v>45</v>
      </c>
      <c r="C220" s="61" t="s">
        <v>106</v>
      </c>
      <c r="D220" s="23"/>
      <c r="E220" s="31"/>
      <c r="F220" s="31"/>
      <c r="G220" s="31"/>
      <c r="H220" s="30">
        <f>H216+H218+H213</f>
        <v>94000</v>
      </c>
      <c r="I220" s="30">
        <f aca="true" t="shared" si="60" ref="I220:T220">I216+I218+I213</f>
        <v>0</v>
      </c>
      <c r="J220" s="30">
        <f t="shared" si="60"/>
        <v>0</v>
      </c>
      <c r="K220" s="30">
        <f t="shared" si="60"/>
        <v>0</v>
      </c>
      <c r="L220" s="30">
        <f t="shared" si="60"/>
        <v>0</v>
      </c>
      <c r="M220" s="30">
        <f t="shared" si="60"/>
        <v>0</v>
      </c>
      <c r="N220" s="30">
        <f t="shared" si="60"/>
        <v>54000</v>
      </c>
      <c r="O220" s="30">
        <f t="shared" si="60"/>
        <v>0</v>
      </c>
      <c r="P220" s="30">
        <f t="shared" si="60"/>
        <v>0</v>
      </c>
      <c r="Q220" s="30">
        <f t="shared" si="60"/>
        <v>0</v>
      </c>
      <c r="R220" s="30">
        <f t="shared" si="60"/>
        <v>0</v>
      </c>
      <c r="S220" s="30">
        <f t="shared" si="60"/>
        <v>40000</v>
      </c>
      <c r="T220" s="30">
        <f t="shared" si="60"/>
        <v>0</v>
      </c>
      <c r="U220" s="102"/>
      <c r="V220" s="47">
        <f>SUM(I220:T220)</f>
        <v>94000</v>
      </c>
    </row>
    <row r="221" spans="1:22" ht="12.75">
      <c r="A221" s="56"/>
      <c r="B221" s="25"/>
      <c r="C221" s="61"/>
      <c r="D221" s="23"/>
      <c r="E221" s="31"/>
      <c r="F221" s="31"/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102"/>
      <c r="V221" s="47"/>
    </row>
    <row r="222" spans="1:22" ht="12.75">
      <c r="A222" s="66"/>
      <c r="B222" s="92" t="s">
        <v>63</v>
      </c>
      <c r="C222" s="44"/>
      <c r="D222" s="44"/>
      <c r="E222" s="44"/>
      <c r="F222" s="44"/>
      <c r="G222" s="45"/>
      <c r="H222" s="42">
        <f aca="true" t="shared" si="61" ref="H222:T222">H220</f>
        <v>94000</v>
      </c>
      <c r="I222" s="42">
        <f t="shared" si="61"/>
        <v>0</v>
      </c>
      <c r="J222" s="42">
        <f t="shared" si="61"/>
        <v>0</v>
      </c>
      <c r="K222" s="42">
        <f t="shared" si="61"/>
        <v>0</v>
      </c>
      <c r="L222" s="42">
        <f t="shared" si="61"/>
        <v>0</v>
      </c>
      <c r="M222" s="42">
        <f t="shared" si="61"/>
        <v>0</v>
      </c>
      <c r="N222" s="42">
        <f t="shared" si="61"/>
        <v>54000</v>
      </c>
      <c r="O222" s="42">
        <f t="shared" si="61"/>
        <v>0</v>
      </c>
      <c r="P222" s="42">
        <f t="shared" si="61"/>
        <v>0</v>
      </c>
      <c r="Q222" s="42">
        <f t="shared" si="61"/>
        <v>0</v>
      </c>
      <c r="R222" s="42">
        <f t="shared" si="61"/>
        <v>0</v>
      </c>
      <c r="S222" s="42">
        <f t="shared" si="61"/>
        <v>40000</v>
      </c>
      <c r="T222" s="42">
        <f t="shared" si="61"/>
        <v>0</v>
      </c>
      <c r="U222" s="104"/>
      <c r="V222" s="50">
        <f>SUM(I222:T222)</f>
        <v>94000</v>
      </c>
    </row>
    <row r="223" spans="1:22" ht="12.75">
      <c r="A223" s="60"/>
      <c r="B223" s="43"/>
      <c r="C223" s="16"/>
      <c r="D223" s="16"/>
      <c r="E223" s="16"/>
      <c r="F223" s="16"/>
      <c r="G223" s="10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00"/>
      <c r="V223" s="15">
        <f>SUM(I223:T223)</f>
        <v>0</v>
      </c>
    </row>
    <row r="224" spans="1:22" ht="66.75" customHeight="1">
      <c r="A224" s="62" t="s">
        <v>87</v>
      </c>
      <c r="B224" s="90" t="s">
        <v>128</v>
      </c>
      <c r="C224" s="37" t="s">
        <v>23</v>
      </c>
      <c r="D224" s="37">
        <v>6600000000</v>
      </c>
      <c r="E224" s="36"/>
      <c r="F224" s="36"/>
      <c r="G224" s="37"/>
      <c r="H224" s="13">
        <f aca="true" t="shared" si="62" ref="H224:T224">H227+H250+H265</f>
        <v>14043248</v>
      </c>
      <c r="I224" s="13">
        <f t="shared" si="62"/>
        <v>500800</v>
      </c>
      <c r="J224" s="13">
        <f t="shared" si="62"/>
        <v>1162700</v>
      </c>
      <c r="K224" s="13">
        <f t="shared" si="62"/>
        <v>1247600</v>
      </c>
      <c r="L224" s="13">
        <f t="shared" si="62"/>
        <v>1198022</v>
      </c>
      <c r="M224" s="13">
        <f t="shared" si="62"/>
        <v>1172001.7</v>
      </c>
      <c r="N224" s="13">
        <f t="shared" si="62"/>
        <v>1209500</v>
      </c>
      <c r="O224" s="13">
        <f t="shared" si="62"/>
        <v>1175600</v>
      </c>
      <c r="P224" s="13">
        <f t="shared" si="62"/>
        <v>1174484.77</v>
      </c>
      <c r="Q224" s="13">
        <f t="shared" si="62"/>
        <v>1142090.8399999999</v>
      </c>
      <c r="R224" s="13">
        <f t="shared" si="62"/>
        <v>1357600</v>
      </c>
      <c r="S224" s="13">
        <f t="shared" si="62"/>
        <v>1425099.35</v>
      </c>
      <c r="T224" s="13">
        <f t="shared" si="62"/>
        <v>1277749.34</v>
      </c>
      <c r="U224" s="101"/>
      <c r="V224" s="87">
        <f>SUM(I224:T224)</f>
        <v>14043248</v>
      </c>
    </row>
    <row r="225" spans="1:22" ht="12.75">
      <c r="A225" s="60"/>
      <c r="B225" s="43"/>
      <c r="C225" s="12"/>
      <c r="D225" s="12"/>
      <c r="E225" s="12"/>
      <c r="F225" s="12"/>
      <c r="G225" s="31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104"/>
      <c r="V225" s="15">
        <f>SUM(I225:T225)</f>
        <v>0</v>
      </c>
    </row>
    <row r="226" spans="1:22" ht="12.75">
      <c r="A226" s="60"/>
      <c r="B226" s="43"/>
      <c r="C226" s="16"/>
      <c r="D226" s="16"/>
      <c r="E226" s="16"/>
      <c r="F226" s="16"/>
      <c r="G226" s="10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00"/>
      <c r="V226" s="15">
        <f>SUM(I226:T226)</f>
        <v>0</v>
      </c>
    </row>
    <row r="227" spans="1:22" ht="76.5">
      <c r="A227" s="62" t="s">
        <v>87</v>
      </c>
      <c r="B227" s="90" t="s">
        <v>129</v>
      </c>
      <c r="C227" s="37" t="s">
        <v>23</v>
      </c>
      <c r="D227" s="37">
        <v>6610000000</v>
      </c>
      <c r="E227" s="36"/>
      <c r="F227" s="36"/>
      <c r="G227" s="37"/>
      <c r="H227" s="13">
        <f>H228+H229+H230+H231+H232+H233+H234+H235+H236+H243+H247+H248+H249</f>
        <v>10175748</v>
      </c>
      <c r="I227" s="13">
        <f aca="true" t="shared" si="63" ref="I227:V227">I228+I229+I230+I231+I232+I233+I234+I235+I236+I243+I247+I248+I249</f>
        <v>500800</v>
      </c>
      <c r="J227" s="13">
        <f t="shared" si="63"/>
        <v>851700</v>
      </c>
      <c r="K227" s="13">
        <f t="shared" si="63"/>
        <v>883400</v>
      </c>
      <c r="L227" s="13">
        <f t="shared" si="63"/>
        <v>855122</v>
      </c>
      <c r="M227" s="13">
        <f t="shared" si="63"/>
        <v>821601.7</v>
      </c>
      <c r="N227" s="13">
        <f t="shared" si="63"/>
        <v>893300</v>
      </c>
      <c r="O227" s="13">
        <f t="shared" si="63"/>
        <v>859400</v>
      </c>
      <c r="P227" s="13">
        <f t="shared" si="63"/>
        <v>858284.77</v>
      </c>
      <c r="Q227" s="13">
        <f t="shared" si="63"/>
        <v>824890.84</v>
      </c>
      <c r="R227" s="13">
        <f t="shared" si="63"/>
        <v>881400</v>
      </c>
      <c r="S227" s="13">
        <f t="shared" si="63"/>
        <v>1013599.35</v>
      </c>
      <c r="T227" s="13">
        <f t="shared" si="63"/>
        <v>932249.3400000001</v>
      </c>
      <c r="U227" s="34"/>
      <c r="V227" s="13">
        <f t="shared" si="63"/>
        <v>10175748</v>
      </c>
    </row>
    <row r="228" spans="1:22" ht="96" customHeight="1">
      <c r="A228" s="56" t="s">
        <v>87</v>
      </c>
      <c r="B228" s="109" t="s">
        <v>178</v>
      </c>
      <c r="C228" s="10" t="s">
        <v>23</v>
      </c>
      <c r="D228" s="10">
        <v>6610100590</v>
      </c>
      <c r="E228" s="10">
        <v>611</v>
      </c>
      <c r="F228" s="10">
        <v>211</v>
      </c>
      <c r="G228" s="63" t="s">
        <v>227</v>
      </c>
      <c r="H228" s="14">
        <v>6248200</v>
      </c>
      <c r="I228" s="14">
        <f>198800-40901.7</f>
        <v>157898.3</v>
      </c>
      <c r="J228" s="14">
        <f>496900+25900+5361.94</f>
        <v>528161.94</v>
      </c>
      <c r="K228" s="14">
        <f>496900+25900</f>
        <v>522800</v>
      </c>
      <c r="L228" s="14">
        <f>496900+25900</f>
        <v>522800</v>
      </c>
      <c r="M228" s="14">
        <f>496900+40901.7+25900</f>
        <v>563701.7</v>
      </c>
      <c r="N228" s="14">
        <f>496900+97900+25900</f>
        <v>620700</v>
      </c>
      <c r="O228" s="14">
        <f>496900+50000+25900</f>
        <v>572800</v>
      </c>
      <c r="P228" s="14">
        <f>496900+50000+25900</f>
        <v>572800</v>
      </c>
      <c r="Q228" s="14">
        <f>496900+25900</f>
        <v>522800</v>
      </c>
      <c r="R228" s="14">
        <f>496900+25900</f>
        <v>522800</v>
      </c>
      <c r="S228" s="14">
        <f>596900+25900-5361.94</f>
        <v>617438.06</v>
      </c>
      <c r="T228" s="14">
        <f>496900+25900+700</f>
        <v>523500</v>
      </c>
      <c r="U228" s="100"/>
      <c r="V228" s="15">
        <f aca="true" t="shared" si="64" ref="V228:V272">SUM(I228:T228)</f>
        <v>6248200</v>
      </c>
    </row>
    <row r="229" spans="1:22" ht="101.25" customHeight="1">
      <c r="A229" s="56" t="s">
        <v>87</v>
      </c>
      <c r="B229" s="109" t="s">
        <v>179</v>
      </c>
      <c r="C229" s="10" t="s">
        <v>23</v>
      </c>
      <c r="D229" s="10">
        <v>6610100590</v>
      </c>
      <c r="E229" s="10">
        <v>611</v>
      </c>
      <c r="F229" s="10">
        <v>213</v>
      </c>
      <c r="G229" s="63" t="s">
        <v>228</v>
      </c>
      <c r="H229" s="14">
        <v>1886948</v>
      </c>
      <c r="I229" s="14">
        <v>0</v>
      </c>
      <c r="J229" s="14">
        <f>150100+13200+43890.19</f>
        <v>207190.19</v>
      </c>
      <c r="K229" s="14">
        <f>150100+13200</f>
        <v>163300</v>
      </c>
      <c r="L229" s="14">
        <f>150100+13200</f>
        <v>163300</v>
      </c>
      <c r="M229" s="14">
        <f>150100+13200</f>
        <v>163300</v>
      </c>
      <c r="N229" s="14">
        <v>186600</v>
      </c>
      <c r="O229" s="14">
        <v>186600</v>
      </c>
      <c r="P229" s="14">
        <f>186600-43890.19</f>
        <v>142709.81</v>
      </c>
      <c r="Q229" s="14">
        <v>163300</v>
      </c>
      <c r="R229" s="14">
        <v>163300</v>
      </c>
      <c r="S229" s="14">
        <v>183000</v>
      </c>
      <c r="T229" s="14">
        <v>164348</v>
      </c>
      <c r="U229" s="100"/>
      <c r="V229" s="15">
        <f t="shared" si="64"/>
        <v>1886948</v>
      </c>
    </row>
    <row r="230" spans="1:22" ht="124.5" customHeight="1">
      <c r="A230" s="56" t="s">
        <v>87</v>
      </c>
      <c r="B230" s="48" t="s">
        <v>194</v>
      </c>
      <c r="C230" s="10" t="s">
        <v>23</v>
      </c>
      <c r="D230" s="10">
        <v>6610100590</v>
      </c>
      <c r="E230" s="38">
        <v>611</v>
      </c>
      <c r="F230" s="38">
        <v>221</v>
      </c>
      <c r="G230" s="38" t="s">
        <v>212</v>
      </c>
      <c r="H230" s="29">
        <v>100800</v>
      </c>
      <c r="I230" s="14">
        <f>8400-7398.67</f>
        <v>1001.3299999999999</v>
      </c>
      <c r="J230" s="14">
        <f>8400-529.22</f>
        <v>7870.78</v>
      </c>
      <c r="K230" s="14">
        <v>8400</v>
      </c>
      <c r="L230" s="14">
        <v>8400</v>
      </c>
      <c r="M230" s="14">
        <v>8400</v>
      </c>
      <c r="N230" s="14">
        <v>8400</v>
      </c>
      <c r="O230" s="14">
        <v>8400</v>
      </c>
      <c r="P230" s="14">
        <v>8400</v>
      </c>
      <c r="Q230" s="14">
        <v>8400</v>
      </c>
      <c r="R230" s="14">
        <v>8400</v>
      </c>
      <c r="S230" s="14">
        <f>8400+529.22</f>
        <v>8929.22</v>
      </c>
      <c r="T230" s="14">
        <f>8400+7398.67</f>
        <v>15798.67</v>
      </c>
      <c r="U230" s="100"/>
      <c r="V230" s="15">
        <f t="shared" si="64"/>
        <v>100800</v>
      </c>
    </row>
    <row r="231" spans="1:22" ht="53.25" customHeight="1">
      <c r="A231" s="56" t="s">
        <v>87</v>
      </c>
      <c r="B231" s="48" t="s">
        <v>169</v>
      </c>
      <c r="C231" s="10" t="s">
        <v>23</v>
      </c>
      <c r="D231" s="10">
        <v>6610100590</v>
      </c>
      <c r="E231" s="38">
        <v>611</v>
      </c>
      <c r="F231" s="38">
        <v>221</v>
      </c>
      <c r="G231" s="38" t="s">
        <v>211</v>
      </c>
      <c r="H231" s="29">
        <v>37200</v>
      </c>
      <c r="I231" s="14">
        <v>0</v>
      </c>
      <c r="J231" s="14">
        <v>3100</v>
      </c>
      <c r="K231" s="14">
        <v>6200</v>
      </c>
      <c r="L231" s="14">
        <v>3100</v>
      </c>
      <c r="M231" s="14">
        <v>3100</v>
      </c>
      <c r="N231" s="14">
        <v>3100</v>
      </c>
      <c r="O231" s="14">
        <v>3100</v>
      </c>
      <c r="P231" s="14">
        <v>3100</v>
      </c>
      <c r="Q231" s="14">
        <v>3100</v>
      </c>
      <c r="R231" s="14">
        <v>3100</v>
      </c>
      <c r="S231" s="14">
        <v>3100</v>
      </c>
      <c r="T231" s="14">
        <v>3100</v>
      </c>
      <c r="U231" s="100"/>
      <c r="V231" s="15">
        <f t="shared" si="64"/>
        <v>37200</v>
      </c>
    </row>
    <row r="232" spans="1:22" ht="79.5" customHeight="1">
      <c r="A232" s="56" t="s">
        <v>87</v>
      </c>
      <c r="B232" s="110" t="s">
        <v>180</v>
      </c>
      <c r="C232" s="10" t="s">
        <v>23</v>
      </c>
      <c r="D232" s="10">
        <v>6610100590</v>
      </c>
      <c r="E232" s="38">
        <v>611</v>
      </c>
      <c r="F232" s="38">
        <v>223</v>
      </c>
      <c r="G232" s="70" t="s">
        <v>210</v>
      </c>
      <c r="H232" s="29">
        <v>233700</v>
      </c>
      <c r="I232" s="14">
        <f>19200-12774.96</f>
        <v>6425.040000000001</v>
      </c>
      <c r="J232" s="14">
        <f>19500+9500</f>
        <v>29000</v>
      </c>
      <c r="K232" s="14">
        <v>19500</v>
      </c>
      <c r="L232" s="14">
        <v>19500</v>
      </c>
      <c r="M232" s="14">
        <v>10000</v>
      </c>
      <c r="N232" s="14">
        <v>10000</v>
      </c>
      <c r="O232" s="14">
        <v>10000</v>
      </c>
      <c r="P232" s="14">
        <f>10000+12774.96</f>
        <v>22774.96</v>
      </c>
      <c r="Q232" s="14">
        <v>19500</v>
      </c>
      <c r="R232" s="14">
        <f>19500+9500</f>
        <v>29000</v>
      </c>
      <c r="S232" s="14">
        <f>19500+9500</f>
        <v>29000</v>
      </c>
      <c r="T232" s="14">
        <f>19500+9500</f>
        <v>29000</v>
      </c>
      <c r="U232" s="100"/>
      <c r="V232" s="15">
        <f t="shared" si="64"/>
        <v>233700</v>
      </c>
    </row>
    <row r="233" spans="1:22" ht="110.25" customHeight="1">
      <c r="A233" s="56" t="s">
        <v>87</v>
      </c>
      <c r="B233" s="48" t="s">
        <v>185</v>
      </c>
      <c r="C233" s="10" t="s">
        <v>23</v>
      </c>
      <c r="D233" s="10">
        <v>6610100590</v>
      </c>
      <c r="E233" s="38">
        <v>611</v>
      </c>
      <c r="F233" s="38">
        <v>223</v>
      </c>
      <c r="G233" s="70" t="s">
        <v>213</v>
      </c>
      <c r="H233" s="29">
        <v>25900</v>
      </c>
      <c r="I233" s="14">
        <v>0</v>
      </c>
      <c r="J233" s="14">
        <f>1500+1300+67.93</f>
        <v>2867.93</v>
      </c>
      <c r="K233" s="14">
        <v>2100</v>
      </c>
      <c r="L233" s="14">
        <v>2100</v>
      </c>
      <c r="M233" s="14">
        <v>2100</v>
      </c>
      <c r="N233" s="14">
        <v>3000</v>
      </c>
      <c r="O233" s="14">
        <v>3000</v>
      </c>
      <c r="P233" s="14">
        <v>3000</v>
      </c>
      <c r="Q233" s="14">
        <v>2100</v>
      </c>
      <c r="R233" s="14">
        <v>2100</v>
      </c>
      <c r="S233" s="14">
        <f>2100-67.93</f>
        <v>2032.07</v>
      </c>
      <c r="T233" s="14">
        <v>1500</v>
      </c>
      <c r="U233" s="100"/>
      <c r="V233" s="15">
        <f t="shared" si="64"/>
        <v>25900</v>
      </c>
    </row>
    <row r="234" spans="1:22" ht="100.5" customHeight="1">
      <c r="A234" s="56" t="s">
        <v>87</v>
      </c>
      <c r="B234" s="110" t="s">
        <v>180</v>
      </c>
      <c r="C234" s="10" t="s">
        <v>23</v>
      </c>
      <c r="D234" s="10">
        <v>6610100590</v>
      </c>
      <c r="E234" s="38">
        <v>611</v>
      </c>
      <c r="F234" s="38">
        <v>223</v>
      </c>
      <c r="G234" s="70" t="s">
        <v>65</v>
      </c>
      <c r="H234" s="29">
        <v>604000</v>
      </c>
      <c r="I234" s="14">
        <v>95097.33</v>
      </c>
      <c r="J234" s="14">
        <f>91900-40890.84</f>
        <v>51009.16</v>
      </c>
      <c r="K234" s="14">
        <v>90000</v>
      </c>
      <c r="L234" s="14">
        <v>60000</v>
      </c>
      <c r="M234" s="14">
        <v>0</v>
      </c>
      <c r="N234" s="14">
        <v>0</v>
      </c>
      <c r="O234" s="14">
        <v>0</v>
      </c>
      <c r="P234" s="14">
        <v>0</v>
      </c>
      <c r="Q234" s="14">
        <v>40890.84</v>
      </c>
      <c r="R234" s="14">
        <v>67000</v>
      </c>
      <c r="S234" s="14">
        <v>100000</v>
      </c>
      <c r="T234" s="14">
        <v>100002.67</v>
      </c>
      <c r="U234" s="100"/>
      <c r="V234" s="15">
        <f t="shared" si="64"/>
        <v>604000</v>
      </c>
    </row>
    <row r="235" spans="1:22" ht="100.5" customHeight="1">
      <c r="A235" s="56" t="s">
        <v>87</v>
      </c>
      <c r="B235" s="110" t="s">
        <v>180</v>
      </c>
      <c r="C235" s="10" t="s">
        <v>23</v>
      </c>
      <c r="D235" s="10">
        <v>6610100590</v>
      </c>
      <c r="E235" s="38">
        <v>611</v>
      </c>
      <c r="F235" s="38">
        <v>223</v>
      </c>
      <c r="G235" s="70" t="s">
        <v>214</v>
      </c>
      <c r="H235" s="29">
        <v>91600</v>
      </c>
      <c r="I235" s="14">
        <v>20000</v>
      </c>
      <c r="J235" s="14">
        <v>18300</v>
      </c>
      <c r="K235" s="14">
        <v>10000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8400</v>
      </c>
      <c r="S235" s="14">
        <f>18300-1700</f>
        <v>16600</v>
      </c>
      <c r="T235" s="14">
        <v>18300</v>
      </c>
      <c r="U235" s="100"/>
      <c r="V235" s="15">
        <f t="shared" si="64"/>
        <v>91600</v>
      </c>
    </row>
    <row r="236" spans="1:22" ht="114" customHeight="1">
      <c r="A236" s="56" t="s">
        <v>87</v>
      </c>
      <c r="B236" s="48" t="s">
        <v>184</v>
      </c>
      <c r="C236" s="10" t="s">
        <v>23</v>
      </c>
      <c r="D236" s="10">
        <v>6610100590</v>
      </c>
      <c r="E236" s="38">
        <v>611</v>
      </c>
      <c r="F236" s="38">
        <v>225</v>
      </c>
      <c r="G236" s="70">
        <v>225</v>
      </c>
      <c r="H236" s="29">
        <f>48100+59500</f>
        <v>107600</v>
      </c>
      <c r="I236" s="14">
        <v>10600</v>
      </c>
      <c r="J236" s="14">
        <f>10000-5800</f>
        <v>4200</v>
      </c>
      <c r="K236" s="14">
        <v>10000</v>
      </c>
      <c r="L236" s="14">
        <f>6000+5800</f>
        <v>11800</v>
      </c>
      <c r="M236" s="14">
        <v>16000</v>
      </c>
      <c r="N236" s="14">
        <v>14000</v>
      </c>
      <c r="O236" s="14">
        <v>10500</v>
      </c>
      <c r="P236" s="14">
        <v>10500</v>
      </c>
      <c r="Q236" s="14">
        <v>10000</v>
      </c>
      <c r="R236" s="14">
        <v>5000</v>
      </c>
      <c r="S236" s="14">
        <v>5000</v>
      </c>
      <c r="T236" s="14">
        <v>0</v>
      </c>
      <c r="U236" s="100"/>
      <c r="V236" s="15">
        <f t="shared" si="64"/>
        <v>107600</v>
      </c>
    </row>
    <row r="237" spans="1:22" ht="12.75" hidden="1">
      <c r="A237" s="56" t="s">
        <v>87</v>
      </c>
      <c r="B237" s="23" t="s">
        <v>13</v>
      </c>
      <c r="C237" s="16" t="s">
        <v>23</v>
      </c>
      <c r="D237" s="10">
        <v>6610100590</v>
      </c>
      <c r="E237" s="51">
        <v>611</v>
      </c>
      <c r="F237" s="51">
        <v>226</v>
      </c>
      <c r="G237" s="70" t="s">
        <v>43</v>
      </c>
      <c r="H237" s="29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00"/>
      <c r="V237" s="15">
        <f t="shared" si="64"/>
        <v>0</v>
      </c>
    </row>
    <row r="238" spans="1:22" ht="12.75" hidden="1">
      <c r="A238" s="56" t="s">
        <v>87</v>
      </c>
      <c r="B238" s="23" t="s">
        <v>15</v>
      </c>
      <c r="C238" s="16" t="s">
        <v>23</v>
      </c>
      <c r="D238" s="10">
        <v>6610100590</v>
      </c>
      <c r="E238" s="51">
        <v>611</v>
      </c>
      <c r="F238" s="51">
        <v>340</v>
      </c>
      <c r="G238" s="70" t="s">
        <v>43</v>
      </c>
      <c r="H238" s="29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00"/>
      <c r="V238" s="15">
        <f t="shared" si="64"/>
        <v>0</v>
      </c>
    </row>
    <row r="239" spans="1:22" ht="12.75" hidden="1">
      <c r="A239" s="56" t="s">
        <v>87</v>
      </c>
      <c r="B239" s="23" t="s">
        <v>16</v>
      </c>
      <c r="C239" s="16" t="s">
        <v>23</v>
      </c>
      <c r="D239" s="10">
        <v>6610100590</v>
      </c>
      <c r="E239" s="51">
        <v>611</v>
      </c>
      <c r="F239" s="51">
        <v>310</v>
      </c>
      <c r="G239" s="70" t="s">
        <v>43</v>
      </c>
      <c r="H239" s="29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00"/>
      <c r="V239" s="15">
        <f t="shared" si="64"/>
        <v>0</v>
      </c>
    </row>
    <row r="240" spans="1:22" ht="12.75" hidden="1">
      <c r="A240" s="56" t="s">
        <v>87</v>
      </c>
      <c r="B240" s="23" t="s">
        <v>5</v>
      </c>
      <c r="C240" s="16" t="s">
        <v>23</v>
      </c>
      <c r="D240" s="10">
        <v>6610100590</v>
      </c>
      <c r="E240" s="51">
        <v>611</v>
      </c>
      <c r="F240" s="51">
        <v>211</v>
      </c>
      <c r="G240" s="38" t="s">
        <v>64</v>
      </c>
      <c r="H240" s="29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00"/>
      <c r="V240" s="15">
        <f t="shared" si="64"/>
        <v>0</v>
      </c>
    </row>
    <row r="241" spans="1:22" ht="12.75" hidden="1">
      <c r="A241" s="56" t="s">
        <v>87</v>
      </c>
      <c r="B241" s="23" t="s">
        <v>7</v>
      </c>
      <c r="C241" s="16" t="s">
        <v>23</v>
      </c>
      <c r="D241" s="10">
        <v>6610100590</v>
      </c>
      <c r="E241" s="51">
        <v>611</v>
      </c>
      <c r="F241" s="51">
        <v>213</v>
      </c>
      <c r="G241" s="38" t="s">
        <v>64</v>
      </c>
      <c r="H241" s="29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00"/>
      <c r="V241" s="15">
        <f t="shared" si="64"/>
        <v>0</v>
      </c>
    </row>
    <row r="242" spans="1:22" ht="25.5" hidden="1">
      <c r="A242" s="56" t="s">
        <v>87</v>
      </c>
      <c r="B242" s="63" t="s">
        <v>60</v>
      </c>
      <c r="C242" s="10" t="s">
        <v>23</v>
      </c>
      <c r="D242" s="10">
        <v>6610100590</v>
      </c>
      <c r="E242" s="38">
        <v>611</v>
      </c>
      <c r="F242" s="38">
        <v>225</v>
      </c>
      <c r="G242" s="38" t="s">
        <v>64</v>
      </c>
      <c r="H242" s="29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00"/>
      <c r="V242" s="15">
        <f t="shared" si="64"/>
        <v>0</v>
      </c>
    </row>
    <row r="243" spans="1:22" ht="108.75" customHeight="1">
      <c r="A243" s="56" t="s">
        <v>87</v>
      </c>
      <c r="B243" s="48" t="s">
        <v>184</v>
      </c>
      <c r="C243" s="10" t="s">
        <v>23</v>
      </c>
      <c r="D243" s="10">
        <v>6610100590</v>
      </c>
      <c r="E243" s="38">
        <v>611</v>
      </c>
      <c r="F243" s="38">
        <v>226</v>
      </c>
      <c r="G243" s="38">
        <v>226</v>
      </c>
      <c r="H243" s="29">
        <f>40000+83000+47000+60100+58000+10000+20000+57000+57000</f>
        <v>432100</v>
      </c>
      <c r="I243" s="14">
        <v>50000</v>
      </c>
      <c r="J243" s="14">
        <v>0</v>
      </c>
      <c r="K243" s="14">
        <v>26100</v>
      </c>
      <c r="L243" s="14">
        <v>35000</v>
      </c>
      <c r="M243" s="14">
        <v>50000</v>
      </c>
      <c r="N243" s="14">
        <v>32500</v>
      </c>
      <c r="O243" s="14">
        <v>50000</v>
      </c>
      <c r="P243" s="14">
        <v>50000</v>
      </c>
      <c r="Q243" s="14">
        <v>50000</v>
      </c>
      <c r="R243" s="14">
        <v>50000</v>
      </c>
      <c r="S243" s="14">
        <v>38500</v>
      </c>
      <c r="T243" s="14">
        <v>0</v>
      </c>
      <c r="U243" s="100"/>
      <c r="V243" s="15">
        <f t="shared" si="64"/>
        <v>432100</v>
      </c>
    </row>
    <row r="244" spans="1:22" ht="15.75" customHeight="1" hidden="1">
      <c r="A244" s="56" t="s">
        <v>37</v>
      </c>
      <c r="B244" s="23" t="s">
        <v>16</v>
      </c>
      <c r="C244" s="16" t="s">
        <v>23</v>
      </c>
      <c r="D244" s="51">
        <v>8220100270</v>
      </c>
      <c r="E244" s="51">
        <v>611</v>
      </c>
      <c r="F244" s="51">
        <v>310</v>
      </c>
      <c r="G244" s="38" t="s">
        <v>64</v>
      </c>
      <c r="H244" s="29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00"/>
      <c r="V244" s="15">
        <f t="shared" si="64"/>
        <v>0</v>
      </c>
    </row>
    <row r="245" spans="1:22" ht="12.75" hidden="1">
      <c r="A245" s="56" t="s">
        <v>37</v>
      </c>
      <c r="B245" s="23" t="s">
        <v>5</v>
      </c>
      <c r="C245" s="16" t="s">
        <v>23</v>
      </c>
      <c r="D245" s="51">
        <v>8220100270</v>
      </c>
      <c r="E245" s="51">
        <v>611</v>
      </c>
      <c r="F245" s="51">
        <v>211</v>
      </c>
      <c r="G245" s="38" t="s">
        <v>66</v>
      </c>
      <c r="H245" s="29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00"/>
      <c r="V245" s="15">
        <f t="shared" si="64"/>
        <v>0</v>
      </c>
    </row>
    <row r="246" spans="1:22" ht="12.75" hidden="1">
      <c r="A246" s="56" t="s">
        <v>37</v>
      </c>
      <c r="B246" s="23" t="s">
        <v>7</v>
      </c>
      <c r="C246" s="16" t="s">
        <v>23</v>
      </c>
      <c r="D246" s="51">
        <v>8220100270</v>
      </c>
      <c r="E246" s="51">
        <v>611</v>
      </c>
      <c r="F246" s="51">
        <v>213</v>
      </c>
      <c r="G246" s="38" t="s">
        <v>66</v>
      </c>
      <c r="H246" s="29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00"/>
      <c r="V246" s="15">
        <f t="shared" si="64"/>
        <v>0</v>
      </c>
    </row>
    <row r="247" spans="1:22" ht="102">
      <c r="A247" s="56" t="s">
        <v>87</v>
      </c>
      <c r="B247" s="48" t="s">
        <v>215</v>
      </c>
      <c r="C247" s="10" t="s">
        <v>23</v>
      </c>
      <c r="D247" s="10">
        <v>6610100590</v>
      </c>
      <c r="E247" s="38">
        <v>611</v>
      </c>
      <c r="F247" s="38">
        <v>340</v>
      </c>
      <c r="G247" s="38">
        <v>340</v>
      </c>
      <c r="H247" s="29">
        <f>10000+50000+20000+30000+30000-16100+97700</f>
        <v>221600</v>
      </c>
      <c r="I247" s="14">
        <f>11600-4800+21000</f>
        <v>27800</v>
      </c>
      <c r="J247" s="14">
        <v>0</v>
      </c>
      <c r="K247" s="14">
        <v>25000</v>
      </c>
      <c r="L247" s="14">
        <v>5000</v>
      </c>
      <c r="M247" s="14">
        <v>5000</v>
      </c>
      <c r="N247" s="14">
        <v>15000</v>
      </c>
      <c r="O247" s="14">
        <v>15000</v>
      </c>
      <c r="P247" s="14">
        <v>15000</v>
      </c>
      <c r="Q247" s="14">
        <v>4800</v>
      </c>
      <c r="R247" s="14">
        <f>38400-16100</f>
        <v>22300</v>
      </c>
      <c r="S247" s="14">
        <v>10000</v>
      </c>
      <c r="T247" s="14">
        <f>97700-21000</f>
        <v>76700</v>
      </c>
      <c r="U247" s="100"/>
      <c r="V247" s="15">
        <f t="shared" si="64"/>
        <v>221600</v>
      </c>
    </row>
    <row r="248" spans="1:22" ht="102">
      <c r="A248" s="56" t="s">
        <v>87</v>
      </c>
      <c r="B248" s="48" t="s">
        <v>216</v>
      </c>
      <c r="C248" s="10" t="s">
        <v>23</v>
      </c>
      <c r="D248" s="10">
        <v>6610100590</v>
      </c>
      <c r="E248" s="38">
        <v>611</v>
      </c>
      <c r="F248" s="38">
        <v>310</v>
      </c>
      <c r="G248" s="38">
        <v>310</v>
      </c>
      <c r="H248" s="29">
        <v>116100</v>
      </c>
      <c r="I248" s="14">
        <v>116100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00"/>
      <c r="V248" s="15">
        <f t="shared" si="64"/>
        <v>116100</v>
      </c>
    </row>
    <row r="249" spans="1:22" ht="114.75">
      <c r="A249" s="56" t="s">
        <v>87</v>
      </c>
      <c r="B249" s="48" t="s">
        <v>182</v>
      </c>
      <c r="C249" s="10" t="s">
        <v>23</v>
      </c>
      <c r="D249" s="10">
        <v>6610100590</v>
      </c>
      <c r="E249" s="38">
        <v>611</v>
      </c>
      <c r="F249" s="38">
        <v>290</v>
      </c>
      <c r="G249" s="29"/>
      <c r="H249" s="29">
        <v>70000</v>
      </c>
      <c r="I249" s="14">
        <f>40000-24122</f>
        <v>15878</v>
      </c>
      <c r="J249" s="14">
        <v>0</v>
      </c>
      <c r="K249" s="14">
        <v>0</v>
      </c>
      <c r="L249" s="14">
        <v>24122</v>
      </c>
      <c r="M249" s="14">
        <v>0</v>
      </c>
      <c r="N249" s="14">
        <v>0</v>
      </c>
      <c r="O249" s="14">
        <v>0</v>
      </c>
      <c r="P249" s="14">
        <v>30000</v>
      </c>
      <c r="Q249" s="14">
        <v>0</v>
      </c>
      <c r="R249" s="14">
        <v>0</v>
      </c>
      <c r="S249" s="14">
        <v>0</v>
      </c>
      <c r="T249" s="14">
        <v>0</v>
      </c>
      <c r="U249" s="100"/>
      <c r="V249" s="15">
        <f t="shared" si="64"/>
        <v>70000</v>
      </c>
    </row>
    <row r="250" spans="1:22" ht="63.75">
      <c r="A250" s="62" t="s">
        <v>87</v>
      </c>
      <c r="B250" s="90" t="s">
        <v>130</v>
      </c>
      <c r="C250" s="37" t="s">
        <v>23</v>
      </c>
      <c r="D250" s="37">
        <v>6620000000</v>
      </c>
      <c r="E250" s="37"/>
      <c r="F250" s="37"/>
      <c r="G250" s="37"/>
      <c r="H250" s="13">
        <f aca="true" t="shared" si="65" ref="H250:T250">H251+H252+H253+H254+H255+H256</f>
        <v>3423300</v>
      </c>
      <c r="I250" s="13">
        <f t="shared" si="65"/>
        <v>0</v>
      </c>
      <c r="J250" s="13">
        <f t="shared" si="65"/>
        <v>311000</v>
      </c>
      <c r="K250" s="13">
        <f t="shared" si="65"/>
        <v>311200</v>
      </c>
      <c r="L250" s="13">
        <f t="shared" si="65"/>
        <v>311200</v>
      </c>
      <c r="M250" s="13">
        <f t="shared" si="65"/>
        <v>311200</v>
      </c>
      <c r="N250" s="13">
        <f t="shared" si="65"/>
        <v>311200</v>
      </c>
      <c r="O250" s="13">
        <f t="shared" si="65"/>
        <v>311200</v>
      </c>
      <c r="P250" s="13">
        <f t="shared" si="65"/>
        <v>311200</v>
      </c>
      <c r="Q250" s="13">
        <f t="shared" si="65"/>
        <v>311200</v>
      </c>
      <c r="R250" s="13">
        <f t="shared" si="65"/>
        <v>311200</v>
      </c>
      <c r="S250" s="13">
        <f t="shared" si="65"/>
        <v>311500</v>
      </c>
      <c r="T250" s="13">
        <f t="shared" si="65"/>
        <v>311200</v>
      </c>
      <c r="U250" s="101"/>
      <c r="V250" s="87">
        <f t="shared" si="64"/>
        <v>3423300</v>
      </c>
    </row>
    <row r="251" spans="1:22" ht="89.25" customHeight="1">
      <c r="A251" s="56" t="s">
        <v>87</v>
      </c>
      <c r="B251" s="109" t="s">
        <v>186</v>
      </c>
      <c r="C251" s="10" t="s">
        <v>23</v>
      </c>
      <c r="D251" s="10">
        <v>6620110410</v>
      </c>
      <c r="E251" s="10">
        <v>611</v>
      </c>
      <c r="F251" s="10">
        <v>211</v>
      </c>
      <c r="G251" s="132" t="s">
        <v>80</v>
      </c>
      <c r="H251" s="14">
        <v>2629300</v>
      </c>
      <c r="I251" s="14">
        <v>0</v>
      </c>
      <c r="J251" s="14">
        <f>239000-136.72</f>
        <v>238863.28</v>
      </c>
      <c r="K251" s="14">
        <v>239000</v>
      </c>
      <c r="L251" s="14">
        <v>239000</v>
      </c>
      <c r="M251" s="14">
        <v>239000</v>
      </c>
      <c r="N251" s="14">
        <v>239000</v>
      </c>
      <c r="O251" s="14">
        <v>239000</v>
      </c>
      <c r="P251" s="14">
        <v>239000</v>
      </c>
      <c r="Q251" s="14">
        <v>239000</v>
      </c>
      <c r="R251" s="14">
        <v>239000</v>
      </c>
      <c r="S251" s="14">
        <v>239300</v>
      </c>
      <c r="T251" s="14">
        <f>239000+136.72</f>
        <v>239136.72</v>
      </c>
      <c r="U251" s="100"/>
      <c r="V251" s="15">
        <f t="shared" si="64"/>
        <v>2629300.0000000005</v>
      </c>
    </row>
    <row r="252" spans="1:22" ht="132" customHeight="1">
      <c r="A252" s="56" t="s">
        <v>87</v>
      </c>
      <c r="B252" s="109" t="s">
        <v>195</v>
      </c>
      <c r="C252" s="10" t="s">
        <v>23</v>
      </c>
      <c r="D252" s="10">
        <v>6620110410</v>
      </c>
      <c r="E252" s="10">
        <v>611</v>
      </c>
      <c r="F252" s="10">
        <v>213</v>
      </c>
      <c r="G252" s="132"/>
      <c r="H252" s="14">
        <v>794000</v>
      </c>
      <c r="I252" s="14">
        <v>0</v>
      </c>
      <c r="J252" s="14">
        <f>72000+136.72</f>
        <v>72136.72</v>
      </c>
      <c r="K252" s="14">
        <v>72200</v>
      </c>
      <c r="L252" s="14">
        <v>72200</v>
      </c>
      <c r="M252" s="14">
        <v>72200</v>
      </c>
      <c r="N252" s="14">
        <v>72200</v>
      </c>
      <c r="O252" s="14">
        <v>72200</v>
      </c>
      <c r="P252" s="14">
        <v>72200</v>
      </c>
      <c r="Q252" s="14">
        <v>72200</v>
      </c>
      <c r="R252" s="14">
        <v>72200</v>
      </c>
      <c r="S252" s="14">
        <v>72200</v>
      </c>
      <c r="T252" s="14">
        <f>72200-136.72</f>
        <v>72063.28</v>
      </c>
      <c r="U252" s="100"/>
      <c r="V252" s="15">
        <f t="shared" si="64"/>
        <v>794000</v>
      </c>
    </row>
    <row r="253" spans="1:22" ht="46.5" customHeight="1" hidden="1">
      <c r="A253" s="56" t="s">
        <v>37</v>
      </c>
      <c r="B253" s="23" t="s">
        <v>5</v>
      </c>
      <c r="C253" s="16" t="s">
        <v>23</v>
      </c>
      <c r="D253" s="16">
        <v>8230110410</v>
      </c>
      <c r="E253" s="16">
        <v>611</v>
      </c>
      <c r="F253" s="16">
        <v>211</v>
      </c>
      <c r="G253" s="132"/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00"/>
      <c r="V253" s="15">
        <f t="shared" si="64"/>
        <v>0</v>
      </c>
    </row>
    <row r="254" spans="1:22" ht="45.75" customHeight="1" hidden="1">
      <c r="A254" s="56" t="s">
        <v>37</v>
      </c>
      <c r="B254" s="23" t="s">
        <v>7</v>
      </c>
      <c r="C254" s="16" t="s">
        <v>23</v>
      </c>
      <c r="D254" s="16">
        <v>8230110410</v>
      </c>
      <c r="E254" s="16">
        <v>611</v>
      </c>
      <c r="F254" s="16">
        <v>213</v>
      </c>
      <c r="G254" s="132"/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00"/>
      <c r="V254" s="15">
        <f t="shared" si="64"/>
        <v>0</v>
      </c>
    </row>
    <row r="255" spans="1:22" ht="67.5" customHeight="1" hidden="1">
      <c r="A255" s="56" t="s">
        <v>37</v>
      </c>
      <c r="B255" s="23" t="s">
        <v>5</v>
      </c>
      <c r="C255" s="16" t="s">
        <v>23</v>
      </c>
      <c r="D255" s="16">
        <v>8230110410</v>
      </c>
      <c r="E255" s="16">
        <v>611</v>
      </c>
      <c r="F255" s="16">
        <v>211</v>
      </c>
      <c r="G255" s="132"/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00"/>
      <c r="V255" s="15">
        <f t="shared" si="64"/>
        <v>0</v>
      </c>
    </row>
    <row r="256" spans="1:22" ht="53.25" customHeight="1" hidden="1">
      <c r="A256" s="56" t="s">
        <v>37</v>
      </c>
      <c r="B256" s="23" t="s">
        <v>7</v>
      </c>
      <c r="C256" s="16" t="s">
        <v>23</v>
      </c>
      <c r="D256" s="16">
        <v>8230110410</v>
      </c>
      <c r="E256" s="16">
        <v>611</v>
      </c>
      <c r="F256" s="16">
        <v>213</v>
      </c>
      <c r="G256" s="132"/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00"/>
      <c r="V256" s="15">
        <f t="shared" si="64"/>
        <v>0</v>
      </c>
    </row>
    <row r="257" spans="1:22" ht="12.75" hidden="1">
      <c r="A257" s="56"/>
      <c r="B257" s="23"/>
      <c r="C257" s="16"/>
      <c r="D257" s="16"/>
      <c r="E257" s="16"/>
      <c r="F257" s="16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00"/>
      <c r="V257" s="15">
        <f t="shared" si="64"/>
        <v>0</v>
      </c>
    </row>
    <row r="258" spans="1:22" ht="12.75" hidden="1">
      <c r="A258" s="56"/>
      <c r="B258" s="23"/>
      <c r="C258" s="16"/>
      <c r="D258" s="16"/>
      <c r="E258" s="16"/>
      <c r="F258" s="16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00"/>
      <c r="V258" s="15">
        <f t="shared" si="64"/>
        <v>0</v>
      </c>
    </row>
    <row r="259" spans="1:22" ht="12.75" hidden="1">
      <c r="A259" s="56"/>
      <c r="B259" s="23"/>
      <c r="C259" s="16"/>
      <c r="D259" s="16"/>
      <c r="E259" s="16"/>
      <c r="F259" s="16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00"/>
      <c r="V259" s="15">
        <f t="shared" si="64"/>
        <v>0</v>
      </c>
    </row>
    <row r="260" spans="1:22" ht="12.75" hidden="1">
      <c r="A260" s="56"/>
      <c r="B260" s="23"/>
      <c r="C260" s="16"/>
      <c r="D260" s="16"/>
      <c r="E260" s="16"/>
      <c r="F260" s="16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00"/>
      <c r="V260" s="15">
        <f t="shared" si="64"/>
        <v>0</v>
      </c>
    </row>
    <row r="261" spans="1:22" ht="12.75" hidden="1">
      <c r="A261" s="56"/>
      <c r="B261" s="23"/>
      <c r="C261" s="16"/>
      <c r="D261" s="16"/>
      <c r="E261" s="16"/>
      <c r="F261" s="16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00"/>
      <c r="V261" s="15">
        <f t="shared" si="64"/>
        <v>0</v>
      </c>
    </row>
    <row r="262" spans="1:22" ht="12.75" hidden="1">
      <c r="A262" s="56"/>
      <c r="B262" s="23"/>
      <c r="C262" s="16"/>
      <c r="D262" s="16"/>
      <c r="E262" s="16"/>
      <c r="F262" s="16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00"/>
      <c r="V262" s="15">
        <f t="shared" si="64"/>
        <v>0</v>
      </c>
    </row>
    <row r="263" spans="1:22" ht="12.75" hidden="1">
      <c r="A263" s="56"/>
      <c r="B263" s="23"/>
      <c r="C263" s="16"/>
      <c r="D263" s="16"/>
      <c r="E263" s="16"/>
      <c r="F263" s="16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00"/>
      <c r="V263" s="15">
        <f t="shared" si="64"/>
        <v>0</v>
      </c>
    </row>
    <row r="264" spans="1:22" ht="12.75">
      <c r="A264" s="56"/>
      <c r="B264" s="23"/>
      <c r="C264" s="16"/>
      <c r="D264" s="16"/>
      <c r="E264" s="16"/>
      <c r="F264" s="16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00"/>
      <c r="V264" s="15">
        <f t="shared" si="64"/>
        <v>0</v>
      </c>
    </row>
    <row r="265" spans="1:22" ht="51">
      <c r="A265" s="62" t="s">
        <v>87</v>
      </c>
      <c r="B265" s="90" t="s">
        <v>131</v>
      </c>
      <c r="C265" s="37" t="s">
        <v>23</v>
      </c>
      <c r="D265" s="37">
        <v>6630000000</v>
      </c>
      <c r="E265" s="37"/>
      <c r="F265" s="37"/>
      <c r="G265" s="37"/>
      <c r="H265" s="13">
        <f aca="true" t="shared" si="66" ref="H265:T265">H266</f>
        <v>444200</v>
      </c>
      <c r="I265" s="13">
        <f t="shared" si="66"/>
        <v>0</v>
      </c>
      <c r="J265" s="13">
        <f t="shared" si="66"/>
        <v>0</v>
      </c>
      <c r="K265" s="13">
        <f t="shared" si="66"/>
        <v>53000</v>
      </c>
      <c r="L265" s="13">
        <f t="shared" si="66"/>
        <v>31700</v>
      </c>
      <c r="M265" s="13">
        <f t="shared" si="66"/>
        <v>39200</v>
      </c>
      <c r="N265" s="13">
        <f t="shared" si="66"/>
        <v>5000</v>
      </c>
      <c r="O265" s="13">
        <f t="shared" si="66"/>
        <v>5000</v>
      </c>
      <c r="P265" s="13">
        <f t="shared" si="66"/>
        <v>5000</v>
      </c>
      <c r="Q265" s="13">
        <f t="shared" si="66"/>
        <v>6000</v>
      </c>
      <c r="R265" s="13">
        <f t="shared" si="66"/>
        <v>165000</v>
      </c>
      <c r="S265" s="13">
        <f t="shared" si="66"/>
        <v>100000</v>
      </c>
      <c r="T265" s="13">
        <f t="shared" si="66"/>
        <v>34300</v>
      </c>
      <c r="U265" s="101"/>
      <c r="V265" s="87">
        <f t="shared" si="64"/>
        <v>444200</v>
      </c>
    </row>
    <row r="266" spans="1:22" ht="114.75">
      <c r="A266" s="56" t="s">
        <v>87</v>
      </c>
      <c r="B266" s="48" t="s">
        <v>183</v>
      </c>
      <c r="C266" s="10" t="s">
        <v>23</v>
      </c>
      <c r="D266" s="10">
        <v>6630100320</v>
      </c>
      <c r="E266" s="10">
        <v>611</v>
      </c>
      <c r="F266" s="23">
        <v>290</v>
      </c>
      <c r="G266" s="14"/>
      <c r="H266" s="14">
        <v>444200</v>
      </c>
      <c r="I266" s="14">
        <v>0</v>
      </c>
      <c r="J266" s="14">
        <v>0</v>
      </c>
      <c r="K266" s="14">
        <f>31500+21500</f>
        <v>53000</v>
      </c>
      <c r="L266" s="14">
        <v>31700</v>
      </c>
      <c r="M266" s="14">
        <v>39200</v>
      </c>
      <c r="N266" s="14">
        <v>5000</v>
      </c>
      <c r="O266" s="14">
        <v>5000</v>
      </c>
      <c r="P266" s="14">
        <v>5000</v>
      </c>
      <c r="Q266" s="14">
        <f>20800+22800+19467.33-57067.33</f>
        <v>6000</v>
      </c>
      <c r="R266" s="14">
        <v>165000</v>
      </c>
      <c r="S266" s="14">
        <v>100000</v>
      </c>
      <c r="T266" s="14">
        <v>34300</v>
      </c>
      <c r="U266" s="100"/>
      <c r="V266" s="15">
        <f t="shared" si="64"/>
        <v>444200</v>
      </c>
    </row>
    <row r="267" spans="1:22" ht="12.75">
      <c r="A267" s="56"/>
      <c r="B267" s="23"/>
      <c r="C267" s="16"/>
      <c r="D267" s="16"/>
      <c r="E267" s="16"/>
      <c r="F267" s="28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00"/>
      <c r="V267" s="15">
        <f t="shared" si="64"/>
        <v>0</v>
      </c>
    </row>
    <row r="268" spans="1:22" ht="102">
      <c r="A268" s="62" t="s">
        <v>87</v>
      </c>
      <c r="B268" s="90" t="s">
        <v>132</v>
      </c>
      <c r="C268" s="37" t="s">
        <v>23</v>
      </c>
      <c r="D268" s="37">
        <v>6700000000</v>
      </c>
      <c r="E268" s="37"/>
      <c r="F268" s="37"/>
      <c r="G268" s="37"/>
      <c r="H268" s="13">
        <f aca="true" t="shared" si="67" ref="H268:T268">H269</f>
        <v>50000</v>
      </c>
      <c r="I268" s="13">
        <f t="shared" si="67"/>
        <v>0</v>
      </c>
      <c r="J268" s="13">
        <f t="shared" si="67"/>
        <v>0</v>
      </c>
      <c r="K268" s="13">
        <f t="shared" si="67"/>
        <v>0</v>
      </c>
      <c r="L268" s="13">
        <f t="shared" si="67"/>
        <v>50000</v>
      </c>
      <c r="M268" s="13">
        <f t="shared" si="67"/>
        <v>0</v>
      </c>
      <c r="N268" s="13">
        <f t="shared" si="67"/>
        <v>0</v>
      </c>
      <c r="O268" s="13">
        <f t="shared" si="67"/>
        <v>0</v>
      </c>
      <c r="P268" s="13">
        <f t="shared" si="67"/>
        <v>0</v>
      </c>
      <c r="Q268" s="13">
        <f t="shared" si="67"/>
        <v>0</v>
      </c>
      <c r="R268" s="13">
        <f t="shared" si="67"/>
        <v>0</v>
      </c>
      <c r="S268" s="13">
        <f t="shared" si="67"/>
        <v>0</v>
      </c>
      <c r="T268" s="13">
        <f t="shared" si="67"/>
        <v>0</v>
      </c>
      <c r="U268" s="101"/>
      <c r="V268" s="87">
        <f t="shared" si="64"/>
        <v>50000</v>
      </c>
    </row>
    <row r="269" spans="1:22" ht="33" customHeight="1">
      <c r="A269" s="56" t="s">
        <v>87</v>
      </c>
      <c r="B269" s="63" t="s">
        <v>157</v>
      </c>
      <c r="C269" s="10" t="s">
        <v>23</v>
      </c>
      <c r="D269" s="10">
        <v>6710110310</v>
      </c>
      <c r="E269" s="10">
        <v>244</v>
      </c>
      <c r="F269" s="10">
        <v>225</v>
      </c>
      <c r="G269" s="14"/>
      <c r="H269" s="14">
        <v>50000</v>
      </c>
      <c r="I269" s="14">
        <v>0</v>
      </c>
      <c r="J269" s="14">
        <v>0</v>
      </c>
      <c r="K269" s="14">
        <v>0</v>
      </c>
      <c r="L269" s="14">
        <v>50000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00"/>
      <c r="V269" s="15">
        <f t="shared" si="64"/>
        <v>50000</v>
      </c>
    </row>
    <row r="270" spans="1:22" s="3" customFormat="1" ht="38.25">
      <c r="A270" s="62" t="s">
        <v>87</v>
      </c>
      <c r="B270" s="90" t="s">
        <v>67</v>
      </c>
      <c r="C270" s="37" t="s">
        <v>23</v>
      </c>
      <c r="D270" s="37">
        <v>8800000000</v>
      </c>
      <c r="E270" s="41"/>
      <c r="F270" s="41"/>
      <c r="G270" s="24"/>
      <c r="H270" s="13">
        <f aca="true" t="shared" si="68" ref="H270:M270">H271</f>
        <v>130000</v>
      </c>
      <c r="I270" s="13">
        <f t="shared" si="68"/>
        <v>0</v>
      </c>
      <c r="J270" s="13">
        <f t="shared" si="68"/>
        <v>0</v>
      </c>
      <c r="K270" s="13">
        <f t="shared" si="68"/>
        <v>130000</v>
      </c>
      <c r="L270" s="13">
        <f t="shared" si="68"/>
        <v>0</v>
      </c>
      <c r="M270" s="13">
        <f t="shared" si="68"/>
        <v>0</v>
      </c>
      <c r="N270" s="13">
        <v>0</v>
      </c>
      <c r="O270" s="13">
        <f aca="true" t="shared" si="69" ref="O270:T270">O271</f>
        <v>0</v>
      </c>
      <c r="P270" s="13">
        <f t="shared" si="69"/>
        <v>0</v>
      </c>
      <c r="Q270" s="13">
        <f t="shared" si="69"/>
        <v>0</v>
      </c>
      <c r="R270" s="13">
        <f t="shared" si="69"/>
        <v>0</v>
      </c>
      <c r="S270" s="13">
        <f t="shared" si="69"/>
        <v>0</v>
      </c>
      <c r="T270" s="13">
        <f t="shared" si="69"/>
        <v>0</v>
      </c>
      <c r="U270" s="101"/>
      <c r="V270" s="87">
        <f t="shared" si="64"/>
        <v>130000</v>
      </c>
    </row>
    <row r="271" spans="1:22" ht="25.5">
      <c r="A271" s="56" t="s">
        <v>87</v>
      </c>
      <c r="B271" s="48" t="s">
        <v>173</v>
      </c>
      <c r="C271" s="10" t="s">
        <v>23</v>
      </c>
      <c r="D271" s="10">
        <v>8810011440</v>
      </c>
      <c r="E271" s="10">
        <v>540</v>
      </c>
      <c r="F271" s="10">
        <v>310</v>
      </c>
      <c r="G271" s="14"/>
      <c r="H271" s="14">
        <v>130000</v>
      </c>
      <c r="I271" s="14">
        <v>0</v>
      </c>
      <c r="J271" s="14">
        <v>0</v>
      </c>
      <c r="K271" s="14">
        <v>130000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00"/>
      <c r="V271" s="15">
        <f t="shared" si="64"/>
        <v>130000</v>
      </c>
    </row>
    <row r="272" spans="1:22" ht="12.75">
      <c r="A272" s="56"/>
      <c r="B272" s="23"/>
      <c r="C272" s="16"/>
      <c r="D272" s="16"/>
      <c r="E272" s="16"/>
      <c r="F272" s="16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00"/>
      <c r="V272" s="15">
        <f t="shared" si="64"/>
        <v>0</v>
      </c>
    </row>
    <row r="273" spans="1:22" ht="12.75">
      <c r="A273" s="56"/>
      <c r="B273" s="25" t="s">
        <v>45</v>
      </c>
      <c r="C273" s="25" t="s">
        <v>23</v>
      </c>
      <c r="D273" s="16"/>
      <c r="E273" s="16"/>
      <c r="F273" s="16"/>
      <c r="G273" s="14"/>
      <c r="H273" s="30">
        <f aca="true" t="shared" si="70" ref="H273:T273">H269+H270+H265+H250+H227</f>
        <v>14223248</v>
      </c>
      <c r="I273" s="30">
        <f t="shared" si="70"/>
        <v>500800</v>
      </c>
      <c r="J273" s="30">
        <f t="shared" si="70"/>
        <v>1162700</v>
      </c>
      <c r="K273" s="30">
        <f t="shared" si="70"/>
        <v>1377600</v>
      </c>
      <c r="L273" s="30">
        <f t="shared" si="70"/>
        <v>1248022</v>
      </c>
      <c r="M273" s="30">
        <f t="shared" si="70"/>
        <v>1172001.7</v>
      </c>
      <c r="N273" s="30">
        <f t="shared" si="70"/>
        <v>1209500</v>
      </c>
      <c r="O273" s="30">
        <f t="shared" si="70"/>
        <v>1175600</v>
      </c>
      <c r="P273" s="30">
        <f t="shared" si="70"/>
        <v>1174484.77</v>
      </c>
      <c r="Q273" s="30">
        <f t="shared" si="70"/>
        <v>1142090.8399999999</v>
      </c>
      <c r="R273" s="30">
        <f t="shared" si="70"/>
        <v>1357600</v>
      </c>
      <c r="S273" s="30">
        <f t="shared" si="70"/>
        <v>1425099.35</v>
      </c>
      <c r="T273" s="30">
        <f t="shared" si="70"/>
        <v>1277749.34</v>
      </c>
      <c r="U273" s="97"/>
      <c r="V273" s="97">
        <f>V269+V270+V265+V250+V227</f>
        <v>14223248</v>
      </c>
    </row>
    <row r="274" spans="1:22" ht="12.75">
      <c r="A274" s="56"/>
      <c r="B274" s="23"/>
      <c r="C274" s="16"/>
      <c r="D274" s="16"/>
      <c r="E274" s="16"/>
      <c r="F274" s="16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00"/>
      <c r="V274" s="15">
        <f aca="true" t="shared" si="71" ref="V274:V288">SUM(I274:T274)</f>
        <v>0</v>
      </c>
    </row>
    <row r="275" spans="1:22" ht="12.75">
      <c r="A275" s="66"/>
      <c r="B275" s="92" t="s">
        <v>68</v>
      </c>
      <c r="C275" s="44"/>
      <c r="D275" s="44"/>
      <c r="E275" s="44"/>
      <c r="F275" s="44"/>
      <c r="G275" s="49"/>
      <c r="H275" s="42">
        <f aca="true" t="shared" si="72" ref="H275:T275">H273</f>
        <v>14223248</v>
      </c>
      <c r="I275" s="42">
        <f t="shared" si="72"/>
        <v>500800</v>
      </c>
      <c r="J275" s="42">
        <f t="shared" si="72"/>
        <v>1162700</v>
      </c>
      <c r="K275" s="42">
        <f t="shared" si="72"/>
        <v>1377600</v>
      </c>
      <c r="L275" s="42">
        <f t="shared" si="72"/>
        <v>1248022</v>
      </c>
      <c r="M275" s="42">
        <f t="shared" si="72"/>
        <v>1172001.7</v>
      </c>
      <c r="N275" s="42">
        <f t="shared" si="72"/>
        <v>1209500</v>
      </c>
      <c r="O275" s="42">
        <f t="shared" si="72"/>
        <v>1175600</v>
      </c>
      <c r="P275" s="42">
        <f t="shared" si="72"/>
        <v>1174484.77</v>
      </c>
      <c r="Q275" s="42">
        <f t="shared" si="72"/>
        <v>1142090.8399999999</v>
      </c>
      <c r="R275" s="42">
        <f t="shared" si="72"/>
        <v>1357600</v>
      </c>
      <c r="S275" s="42">
        <f t="shared" si="72"/>
        <v>1425099.35</v>
      </c>
      <c r="T275" s="42">
        <f t="shared" si="72"/>
        <v>1277749.34</v>
      </c>
      <c r="U275" s="104"/>
      <c r="V275" s="50">
        <f t="shared" si="71"/>
        <v>14223248</v>
      </c>
    </row>
    <row r="276" spans="1:22" ht="12.75">
      <c r="A276" s="56"/>
      <c r="B276" s="23"/>
      <c r="C276" s="16"/>
      <c r="D276" s="16"/>
      <c r="E276" s="16"/>
      <c r="F276" s="16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00"/>
      <c r="V276" s="15">
        <f t="shared" si="71"/>
        <v>0</v>
      </c>
    </row>
    <row r="277" spans="1:22" ht="102">
      <c r="A277" s="62" t="s">
        <v>87</v>
      </c>
      <c r="B277" s="90" t="s">
        <v>133</v>
      </c>
      <c r="C277" s="37" t="s">
        <v>44</v>
      </c>
      <c r="D277" s="37">
        <v>6900000000</v>
      </c>
      <c r="E277" s="37"/>
      <c r="F277" s="37"/>
      <c r="G277" s="37"/>
      <c r="H277" s="13">
        <f aca="true" t="shared" si="73" ref="H277:T277">H278</f>
        <v>388200</v>
      </c>
      <c r="I277" s="13">
        <f t="shared" si="73"/>
        <v>0</v>
      </c>
      <c r="J277" s="13">
        <f t="shared" si="73"/>
        <v>33903.08</v>
      </c>
      <c r="K277" s="13">
        <f t="shared" si="73"/>
        <v>32400</v>
      </c>
      <c r="L277" s="13">
        <f t="shared" si="73"/>
        <v>32300</v>
      </c>
      <c r="M277" s="13">
        <f t="shared" si="73"/>
        <v>32300</v>
      </c>
      <c r="N277" s="13">
        <f t="shared" si="73"/>
        <v>32400</v>
      </c>
      <c r="O277" s="13">
        <f t="shared" si="73"/>
        <v>32300</v>
      </c>
      <c r="P277" s="13">
        <f t="shared" si="73"/>
        <v>32400</v>
      </c>
      <c r="Q277" s="13">
        <f t="shared" si="73"/>
        <v>32400</v>
      </c>
      <c r="R277" s="13">
        <f t="shared" si="73"/>
        <v>32300</v>
      </c>
      <c r="S277" s="13">
        <f t="shared" si="73"/>
        <v>32400</v>
      </c>
      <c r="T277" s="13">
        <f t="shared" si="73"/>
        <v>63096.92</v>
      </c>
      <c r="U277" s="101"/>
      <c r="V277" s="87">
        <f t="shared" si="71"/>
        <v>388200</v>
      </c>
    </row>
    <row r="278" spans="1:22" ht="25.5">
      <c r="A278" s="56" t="s">
        <v>87</v>
      </c>
      <c r="B278" s="48" t="s">
        <v>176</v>
      </c>
      <c r="C278" s="10" t="s">
        <v>44</v>
      </c>
      <c r="D278" s="10">
        <v>6910141210</v>
      </c>
      <c r="E278" s="10">
        <v>312</v>
      </c>
      <c r="F278" s="10">
        <v>263</v>
      </c>
      <c r="G278" s="14"/>
      <c r="H278" s="14">
        <v>388200</v>
      </c>
      <c r="I278" s="14">
        <v>0</v>
      </c>
      <c r="J278" s="14">
        <f>32300+1603.08</f>
        <v>33903.08</v>
      </c>
      <c r="K278" s="14">
        <v>32400</v>
      </c>
      <c r="L278" s="14">
        <v>32300</v>
      </c>
      <c r="M278" s="14">
        <v>32300</v>
      </c>
      <c r="N278" s="14">
        <v>32400</v>
      </c>
      <c r="O278" s="14">
        <v>32300</v>
      </c>
      <c r="P278" s="14">
        <v>32400</v>
      </c>
      <c r="Q278" s="14">
        <v>32400</v>
      </c>
      <c r="R278" s="14">
        <v>32300</v>
      </c>
      <c r="S278" s="14">
        <v>32400</v>
      </c>
      <c r="T278" s="14">
        <f>32400+32300-1603.08</f>
        <v>63096.92</v>
      </c>
      <c r="U278" s="100"/>
      <c r="V278" s="15">
        <f t="shared" si="71"/>
        <v>388200</v>
      </c>
    </row>
    <row r="279" spans="1:22" ht="12.75">
      <c r="A279" s="56"/>
      <c r="B279" s="23"/>
      <c r="C279" s="16"/>
      <c r="D279" s="16"/>
      <c r="E279" s="16"/>
      <c r="F279" s="16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00"/>
      <c r="V279" s="15">
        <f t="shared" si="71"/>
        <v>0</v>
      </c>
    </row>
    <row r="280" spans="1:22" ht="12.75">
      <c r="A280" s="56"/>
      <c r="B280" s="25" t="s">
        <v>45</v>
      </c>
      <c r="C280" s="25" t="s">
        <v>44</v>
      </c>
      <c r="D280" s="16"/>
      <c r="E280" s="16"/>
      <c r="F280" s="16"/>
      <c r="G280" s="14"/>
      <c r="H280" s="30">
        <f aca="true" t="shared" si="74" ref="H280:T280">H277</f>
        <v>388200</v>
      </c>
      <c r="I280" s="30">
        <f t="shared" si="74"/>
        <v>0</v>
      </c>
      <c r="J280" s="30">
        <f t="shared" si="74"/>
        <v>33903.08</v>
      </c>
      <c r="K280" s="30">
        <f t="shared" si="74"/>
        <v>32400</v>
      </c>
      <c r="L280" s="30">
        <f t="shared" si="74"/>
        <v>32300</v>
      </c>
      <c r="M280" s="30">
        <f t="shared" si="74"/>
        <v>32300</v>
      </c>
      <c r="N280" s="30">
        <f t="shared" si="74"/>
        <v>32400</v>
      </c>
      <c r="O280" s="30">
        <f t="shared" si="74"/>
        <v>32300</v>
      </c>
      <c r="P280" s="30">
        <f t="shared" si="74"/>
        <v>32400</v>
      </c>
      <c r="Q280" s="30">
        <f t="shared" si="74"/>
        <v>32400</v>
      </c>
      <c r="R280" s="30">
        <f t="shared" si="74"/>
        <v>32300</v>
      </c>
      <c r="S280" s="30">
        <f t="shared" si="74"/>
        <v>32400</v>
      </c>
      <c r="T280" s="30">
        <f t="shared" si="74"/>
        <v>63096.92</v>
      </c>
      <c r="U280" s="102"/>
      <c r="V280" s="86">
        <f t="shared" si="71"/>
        <v>388200</v>
      </c>
    </row>
    <row r="281" spans="1:22" ht="12.75">
      <c r="A281" s="56"/>
      <c r="B281" s="25"/>
      <c r="C281" s="26"/>
      <c r="D281" s="16"/>
      <c r="E281" s="16"/>
      <c r="F281" s="16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00"/>
      <c r="V281" s="15">
        <f t="shared" si="71"/>
        <v>0</v>
      </c>
    </row>
    <row r="282" spans="1:22" ht="89.25">
      <c r="A282" s="62" t="s">
        <v>87</v>
      </c>
      <c r="B282" s="90" t="s">
        <v>134</v>
      </c>
      <c r="C282" s="37" t="s">
        <v>69</v>
      </c>
      <c r="D282" s="37">
        <v>7000000000</v>
      </c>
      <c r="E282" s="37"/>
      <c r="F282" s="37"/>
      <c r="G282" s="37"/>
      <c r="H282" s="13">
        <f aca="true" t="shared" si="75" ref="H282:T282">H283</f>
        <v>50000</v>
      </c>
      <c r="I282" s="13">
        <f t="shared" si="75"/>
        <v>0</v>
      </c>
      <c r="J282" s="13">
        <f t="shared" si="75"/>
        <v>0</v>
      </c>
      <c r="K282" s="13">
        <f t="shared" si="75"/>
        <v>0</v>
      </c>
      <c r="L282" s="13">
        <f t="shared" si="75"/>
        <v>50000</v>
      </c>
      <c r="M282" s="13">
        <f t="shared" si="75"/>
        <v>0</v>
      </c>
      <c r="N282" s="13">
        <f t="shared" si="75"/>
        <v>0</v>
      </c>
      <c r="O282" s="13">
        <f t="shared" si="75"/>
        <v>0</v>
      </c>
      <c r="P282" s="13">
        <f t="shared" si="75"/>
        <v>0</v>
      </c>
      <c r="Q282" s="13">
        <f t="shared" si="75"/>
        <v>0</v>
      </c>
      <c r="R282" s="13">
        <f t="shared" si="75"/>
        <v>0</v>
      </c>
      <c r="S282" s="13">
        <f t="shared" si="75"/>
        <v>0</v>
      </c>
      <c r="T282" s="13">
        <f t="shared" si="75"/>
        <v>0</v>
      </c>
      <c r="U282" s="101"/>
      <c r="V282" s="87">
        <f t="shared" si="71"/>
        <v>50000</v>
      </c>
    </row>
    <row r="283" spans="1:22" ht="59.25" customHeight="1">
      <c r="A283" s="56" t="s">
        <v>87</v>
      </c>
      <c r="B283" s="48" t="s">
        <v>177</v>
      </c>
      <c r="C283" s="23" t="s">
        <v>69</v>
      </c>
      <c r="D283" s="10">
        <v>7010110300</v>
      </c>
      <c r="E283" s="10">
        <v>633</v>
      </c>
      <c r="F283" s="10">
        <v>290</v>
      </c>
      <c r="G283" s="14"/>
      <c r="H283" s="14">
        <v>50000</v>
      </c>
      <c r="I283" s="14">
        <v>0</v>
      </c>
      <c r="J283" s="14">
        <v>0</v>
      </c>
      <c r="K283" s="14">
        <v>0</v>
      </c>
      <c r="L283" s="14">
        <v>50000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00"/>
      <c r="V283" s="15">
        <f t="shared" si="71"/>
        <v>50000</v>
      </c>
    </row>
    <row r="284" spans="1:22" ht="12.75">
      <c r="A284" s="56"/>
      <c r="B284" s="25"/>
      <c r="C284" s="11"/>
      <c r="D284" s="10"/>
      <c r="E284" s="10"/>
      <c r="F284" s="10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00"/>
      <c r="V284" s="15">
        <f t="shared" si="71"/>
        <v>0</v>
      </c>
    </row>
    <row r="285" spans="1:22" ht="12.75">
      <c r="A285" s="56"/>
      <c r="B285" s="25" t="s">
        <v>45</v>
      </c>
      <c r="C285" s="25" t="s">
        <v>69</v>
      </c>
      <c r="D285" s="10"/>
      <c r="E285" s="10"/>
      <c r="F285" s="10"/>
      <c r="G285" s="14"/>
      <c r="H285" s="30">
        <f aca="true" t="shared" si="76" ref="H285:T285">H282</f>
        <v>50000</v>
      </c>
      <c r="I285" s="30">
        <f t="shared" si="76"/>
        <v>0</v>
      </c>
      <c r="J285" s="30">
        <f t="shared" si="76"/>
        <v>0</v>
      </c>
      <c r="K285" s="30">
        <f t="shared" si="76"/>
        <v>0</v>
      </c>
      <c r="L285" s="30">
        <f t="shared" si="76"/>
        <v>50000</v>
      </c>
      <c r="M285" s="30">
        <f t="shared" si="76"/>
        <v>0</v>
      </c>
      <c r="N285" s="30">
        <f t="shared" si="76"/>
        <v>0</v>
      </c>
      <c r="O285" s="30">
        <f t="shared" si="76"/>
        <v>0</v>
      </c>
      <c r="P285" s="30">
        <f t="shared" si="76"/>
        <v>0</v>
      </c>
      <c r="Q285" s="30">
        <f t="shared" si="76"/>
        <v>0</v>
      </c>
      <c r="R285" s="30">
        <f t="shared" si="76"/>
        <v>0</v>
      </c>
      <c r="S285" s="30">
        <f t="shared" si="76"/>
        <v>0</v>
      </c>
      <c r="T285" s="30">
        <f t="shared" si="76"/>
        <v>0</v>
      </c>
      <c r="U285" s="102"/>
      <c r="V285" s="86">
        <f t="shared" si="71"/>
        <v>50000</v>
      </c>
    </row>
    <row r="286" spans="1:22" ht="12.75">
      <c r="A286" s="56"/>
      <c r="B286" s="25"/>
      <c r="C286" s="26"/>
      <c r="D286" s="16"/>
      <c r="E286" s="16"/>
      <c r="F286" s="16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00"/>
      <c r="V286" s="15">
        <f t="shared" si="71"/>
        <v>0</v>
      </c>
    </row>
    <row r="287" spans="1:22" ht="12.75">
      <c r="A287" s="66"/>
      <c r="B287" s="92" t="s">
        <v>70</v>
      </c>
      <c r="C287" s="68"/>
      <c r="D287" s="44"/>
      <c r="E287" s="44"/>
      <c r="F287" s="44"/>
      <c r="G287" s="49"/>
      <c r="H287" s="42">
        <f aca="true" t="shared" si="77" ref="H287:T287">H282+H277</f>
        <v>438200</v>
      </c>
      <c r="I287" s="42">
        <f t="shared" si="77"/>
        <v>0</v>
      </c>
      <c r="J287" s="42">
        <f t="shared" si="77"/>
        <v>33903.08</v>
      </c>
      <c r="K287" s="42">
        <f t="shared" si="77"/>
        <v>32400</v>
      </c>
      <c r="L287" s="42">
        <f t="shared" si="77"/>
        <v>82300</v>
      </c>
      <c r="M287" s="42">
        <f t="shared" si="77"/>
        <v>32300</v>
      </c>
      <c r="N287" s="42">
        <f t="shared" si="77"/>
        <v>32400</v>
      </c>
      <c r="O287" s="42">
        <f t="shared" si="77"/>
        <v>32300</v>
      </c>
      <c r="P287" s="42">
        <f t="shared" si="77"/>
        <v>32400</v>
      </c>
      <c r="Q287" s="42">
        <f t="shared" si="77"/>
        <v>32400</v>
      </c>
      <c r="R287" s="42">
        <f t="shared" si="77"/>
        <v>32300</v>
      </c>
      <c r="S287" s="42">
        <f t="shared" si="77"/>
        <v>32400</v>
      </c>
      <c r="T287" s="42">
        <f t="shared" si="77"/>
        <v>63096.92</v>
      </c>
      <c r="U287" s="104"/>
      <c r="V287" s="50">
        <f t="shared" si="71"/>
        <v>438200</v>
      </c>
    </row>
    <row r="288" spans="1:22" ht="12.75">
      <c r="A288" s="56"/>
      <c r="B288" s="23"/>
      <c r="C288" s="16"/>
      <c r="D288" s="16"/>
      <c r="E288" s="16"/>
      <c r="F288" s="16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00"/>
      <c r="V288" s="15">
        <f t="shared" si="71"/>
        <v>0</v>
      </c>
    </row>
    <row r="289" spans="1:22" ht="63.75">
      <c r="A289" s="62" t="s">
        <v>87</v>
      </c>
      <c r="B289" s="90" t="s">
        <v>135</v>
      </c>
      <c r="C289" s="37" t="s">
        <v>24</v>
      </c>
      <c r="D289" s="37">
        <v>7100000000</v>
      </c>
      <c r="E289" s="36"/>
      <c r="F289" s="36"/>
      <c r="G289" s="37"/>
      <c r="H289" s="13">
        <f aca="true" t="shared" si="78" ref="H289:T289">H291+H305+H308</f>
        <v>6086300</v>
      </c>
      <c r="I289" s="13">
        <f t="shared" si="78"/>
        <v>368150</v>
      </c>
      <c r="J289" s="13">
        <f t="shared" si="78"/>
        <v>499850</v>
      </c>
      <c r="K289" s="13">
        <f t="shared" si="78"/>
        <v>535443.52</v>
      </c>
      <c r="L289" s="13">
        <f t="shared" si="78"/>
        <v>506662.2</v>
      </c>
      <c r="M289" s="13">
        <f t="shared" si="78"/>
        <v>482900</v>
      </c>
      <c r="N289" s="13">
        <f t="shared" si="78"/>
        <v>479200</v>
      </c>
      <c r="O289" s="13">
        <f t="shared" si="78"/>
        <v>631100</v>
      </c>
      <c r="P289" s="13">
        <f t="shared" si="78"/>
        <v>458731.21</v>
      </c>
      <c r="Q289" s="13">
        <f t="shared" si="78"/>
        <v>475851</v>
      </c>
      <c r="R289" s="13">
        <f t="shared" si="78"/>
        <v>483522.72</v>
      </c>
      <c r="S289" s="13">
        <f t="shared" si="78"/>
        <v>615577</v>
      </c>
      <c r="T289" s="13">
        <f t="shared" si="78"/>
        <v>549312.3500000001</v>
      </c>
      <c r="U289" s="101"/>
      <c r="V289" s="87">
        <f>V291+V308+V305</f>
        <v>6086300</v>
      </c>
    </row>
    <row r="290" spans="1:22" ht="12.75">
      <c r="A290" s="56"/>
      <c r="B290" s="67"/>
      <c r="C290" s="12"/>
      <c r="D290" s="12"/>
      <c r="E290" s="12"/>
      <c r="F290" s="12"/>
      <c r="G290" s="31"/>
      <c r="H290" s="3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00"/>
      <c r="V290" s="15">
        <f>SUM(I290:T290)</f>
        <v>0</v>
      </c>
    </row>
    <row r="291" spans="1:22" ht="63.75">
      <c r="A291" s="62" t="s">
        <v>87</v>
      </c>
      <c r="B291" s="90" t="s">
        <v>136</v>
      </c>
      <c r="C291" s="37" t="s">
        <v>24</v>
      </c>
      <c r="D291" s="37">
        <v>7110000000</v>
      </c>
      <c r="E291" s="36"/>
      <c r="F291" s="36"/>
      <c r="G291" s="37"/>
      <c r="H291" s="13">
        <f aca="true" t="shared" si="79" ref="H291:T291">H292+H293+H294+H295+H296+H297+H298+H299+H301+H302+H303+H300</f>
        <v>5876300</v>
      </c>
      <c r="I291" s="13">
        <f t="shared" si="79"/>
        <v>254650</v>
      </c>
      <c r="J291" s="13">
        <f t="shared" si="79"/>
        <v>499850</v>
      </c>
      <c r="K291" s="13">
        <f t="shared" si="79"/>
        <v>524943.52</v>
      </c>
      <c r="L291" s="13">
        <f t="shared" si="79"/>
        <v>476162.2</v>
      </c>
      <c r="M291" s="13">
        <f t="shared" si="79"/>
        <v>475650</v>
      </c>
      <c r="N291" s="13">
        <f t="shared" si="79"/>
        <v>466700</v>
      </c>
      <c r="O291" s="13">
        <f t="shared" si="79"/>
        <v>612350</v>
      </c>
      <c r="P291" s="13">
        <f t="shared" si="79"/>
        <v>446231.21</v>
      </c>
      <c r="Q291" s="13">
        <f t="shared" si="79"/>
        <v>475851</v>
      </c>
      <c r="R291" s="13">
        <f t="shared" si="79"/>
        <v>483522.72</v>
      </c>
      <c r="S291" s="13">
        <f t="shared" si="79"/>
        <v>611077</v>
      </c>
      <c r="T291" s="13">
        <f t="shared" si="79"/>
        <v>549312.3500000001</v>
      </c>
      <c r="U291" s="58"/>
      <c r="V291" s="88">
        <f>V292+V293+V294+V295+V296+V297+V298+V299+V301+V302+V303+V300</f>
        <v>5876300</v>
      </c>
    </row>
    <row r="292" spans="1:22" ht="102">
      <c r="A292" s="56" t="s">
        <v>87</v>
      </c>
      <c r="B292" s="109" t="s">
        <v>178</v>
      </c>
      <c r="C292" s="10" t="s">
        <v>24</v>
      </c>
      <c r="D292" s="10">
        <v>7110100590</v>
      </c>
      <c r="E292" s="10">
        <v>611</v>
      </c>
      <c r="F292" s="10">
        <v>211</v>
      </c>
      <c r="G292" s="10">
        <v>211</v>
      </c>
      <c r="H292" s="14">
        <v>4044500</v>
      </c>
      <c r="I292" s="14">
        <f>135000-33146.05</f>
        <v>101853.95</v>
      </c>
      <c r="J292" s="14">
        <f>334500+2800+5573</f>
        <v>342873</v>
      </c>
      <c r="K292" s="14">
        <f>334500+2800</f>
        <v>337300</v>
      </c>
      <c r="L292" s="14">
        <f>334500+2700</f>
        <v>337200</v>
      </c>
      <c r="M292" s="14">
        <f>334500+2700</f>
        <v>337200</v>
      </c>
      <c r="N292" s="14">
        <f>334500+2700</f>
        <v>337200</v>
      </c>
      <c r="O292" s="14">
        <f>334550+98700</f>
        <v>433250</v>
      </c>
      <c r="P292" s="14">
        <v>334500</v>
      </c>
      <c r="Q292" s="14">
        <v>334500</v>
      </c>
      <c r="R292" s="14">
        <f>334500+2772.72</f>
        <v>337272.72</v>
      </c>
      <c r="S292" s="14">
        <f>334500+100700-5573</f>
        <v>429627</v>
      </c>
      <c r="T292" s="14">
        <f>334500+33146.05+14077.28</f>
        <v>381723.33</v>
      </c>
      <c r="U292" s="100"/>
      <c r="V292" s="15">
        <f aca="true" t="shared" si="80" ref="V292:V303">SUM(I292:T292)</f>
        <v>4044500</v>
      </c>
    </row>
    <row r="293" spans="1:22" ht="102">
      <c r="A293" s="56" t="s">
        <v>87</v>
      </c>
      <c r="B293" s="109" t="s">
        <v>179</v>
      </c>
      <c r="C293" s="10" t="s">
        <v>24</v>
      </c>
      <c r="D293" s="10">
        <v>7110100590</v>
      </c>
      <c r="E293" s="10">
        <v>611</v>
      </c>
      <c r="F293" s="10">
        <v>213</v>
      </c>
      <c r="G293" s="10">
        <v>219</v>
      </c>
      <c r="H293" s="14">
        <v>1221400</v>
      </c>
      <c r="I293" s="14">
        <v>0</v>
      </c>
      <c r="J293" s="14">
        <f>101100-12429.25</f>
        <v>88670.75</v>
      </c>
      <c r="K293" s="14">
        <v>101100</v>
      </c>
      <c r="L293" s="14">
        <v>101100</v>
      </c>
      <c r="M293" s="14">
        <v>101100</v>
      </c>
      <c r="N293" s="14">
        <v>101100</v>
      </c>
      <c r="O293" s="14">
        <v>151100</v>
      </c>
      <c r="P293" s="14">
        <f>81200</f>
        <v>81200</v>
      </c>
      <c r="Q293" s="14">
        <f>81200+12429.25</f>
        <v>93629.25</v>
      </c>
      <c r="R293" s="14">
        <f>81200+40500</f>
        <v>121700</v>
      </c>
      <c r="S293" s="14">
        <f>101100+50000</f>
        <v>151100</v>
      </c>
      <c r="T293" s="14">
        <f>101100+50000-30600+9100</f>
        <v>129600</v>
      </c>
      <c r="U293" s="100"/>
      <c r="V293" s="15">
        <f t="shared" si="80"/>
        <v>1221400</v>
      </c>
    </row>
    <row r="294" spans="1:22" ht="12.75" hidden="1">
      <c r="A294" s="56" t="s">
        <v>87</v>
      </c>
      <c r="B294" s="23" t="s">
        <v>13</v>
      </c>
      <c r="C294" s="16" t="s">
        <v>24</v>
      </c>
      <c r="D294" s="10">
        <v>7110100590</v>
      </c>
      <c r="E294" s="16">
        <v>611</v>
      </c>
      <c r="F294" s="16">
        <v>226</v>
      </c>
      <c r="G294" s="31"/>
      <c r="H294" s="14">
        <f>V294</f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00"/>
      <c r="V294" s="15">
        <f t="shared" si="80"/>
        <v>0</v>
      </c>
    </row>
    <row r="295" spans="1:22" ht="140.25">
      <c r="A295" s="56" t="s">
        <v>87</v>
      </c>
      <c r="B295" s="48" t="s">
        <v>194</v>
      </c>
      <c r="C295" s="10" t="s">
        <v>24</v>
      </c>
      <c r="D295" s="10">
        <v>7110100590</v>
      </c>
      <c r="E295" s="10">
        <v>611</v>
      </c>
      <c r="F295" s="10">
        <v>221</v>
      </c>
      <c r="G295" s="10" t="s">
        <v>71</v>
      </c>
      <c r="H295" s="14">
        <v>36300</v>
      </c>
      <c r="I295" s="14">
        <f aca="true" t="shared" si="81" ref="I295:N295">2500+1600-1100</f>
        <v>3000</v>
      </c>
      <c r="J295" s="14">
        <v>0</v>
      </c>
      <c r="K295" s="14">
        <v>6000</v>
      </c>
      <c r="L295" s="14">
        <f t="shared" si="81"/>
        <v>3000</v>
      </c>
      <c r="M295" s="14">
        <f t="shared" si="81"/>
        <v>3000</v>
      </c>
      <c r="N295" s="14">
        <f t="shared" si="81"/>
        <v>3000</v>
      </c>
      <c r="O295" s="14">
        <v>1600</v>
      </c>
      <c r="P295" s="14">
        <f>2500+1600-1100</f>
        <v>3000</v>
      </c>
      <c r="Q295" s="14">
        <f>2500+1600-1100</f>
        <v>3000</v>
      </c>
      <c r="R295" s="14">
        <f>2500+1600-1100</f>
        <v>3000</v>
      </c>
      <c r="S295" s="14">
        <v>4000</v>
      </c>
      <c r="T295" s="14">
        <v>3700</v>
      </c>
      <c r="U295" s="100"/>
      <c r="V295" s="15">
        <f t="shared" si="80"/>
        <v>36300</v>
      </c>
    </row>
    <row r="296" spans="1:22" ht="140.25">
      <c r="A296" s="56" t="s">
        <v>87</v>
      </c>
      <c r="B296" s="48" t="s">
        <v>194</v>
      </c>
      <c r="C296" s="10" t="s">
        <v>24</v>
      </c>
      <c r="D296" s="10">
        <v>7110100590</v>
      </c>
      <c r="E296" s="10">
        <v>611</v>
      </c>
      <c r="F296" s="10">
        <v>221</v>
      </c>
      <c r="G296" s="10" t="s">
        <v>72</v>
      </c>
      <c r="H296" s="14">
        <v>7000</v>
      </c>
      <c r="I296" s="14">
        <v>500</v>
      </c>
      <c r="J296" s="14">
        <v>0</v>
      </c>
      <c r="K296" s="14">
        <v>1000</v>
      </c>
      <c r="L296" s="14">
        <v>500</v>
      </c>
      <c r="M296" s="14">
        <v>500</v>
      </c>
      <c r="N296" s="14">
        <v>500</v>
      </c>
      <c r="O296" s="14">
        <v>500</v>
      </c>
      <c r="P296" s="14">
        <v>500</v>
      </c>
      <c r="Q296" s="14">
        <v>500</v>
      </c>
      <c r="R296" s="14">
        <v>500</v>
      </c>
      <c r="S296" s="14">
        <v>1000</v>
      </c>
      <c r="T296" s="14">
        <v>1000</v>
      </c>
      <c r="U296" s="100"/>
      <c r="V296" s="15">
        <f t="shared" si="80"/>
        <v>7000</v>
      </c>
    </row>
    <row r="297" spans="1:22" ht="114.75">
      <c r="A297" s="56" t="s">
        <v>87</v>
      </c>
      <c r="B297" s="110" t="s">
        <v>180</v>
      </c>
      <c r="C297" s="10" t="s">
        <v>24</v>
      </c>
      <c r="D297" s="10">
        <v>7110100590</v>
      </c>
      <c r="E297" s="10">
        <v>611</v>
      </c>
      <c r="F297" s="10">
        <v>223</v>
      </c>
      <c r="G297" s="10" t="s">
        <v>229</v>
      </c>
      <c r="H297" s="14">
        <f>180900+128000</f>
        <v>308900</v>
      </c>
      <c r="I297" s="14">
        <f>14000+8800-10971.75+50000</f>
        <v>61828.25</v>
      </c>
      <c r="J297" s="14">
        <f>14400+33000-20000-23004.73+20000+20000</f>
        <v>44395.270000000004</v>
      </c>
      <c r="K297" s="14">
        <f>25000+19500-30000+24323.52-10000</f>
        <v>28823.520000000004</v>
      </c>
      <c r="L297" s="14">
        <f>14500+15500-10000</f>
        <v>20000</v>
      </c>
      <c r="M297" s="14">
        <v>22000</v>
      </c>
      <c r="N297" s="14">
        <v>14000</v>
      </c>
      <c r="O297" s="14">
        <v>14000</v>
      </c>
      <c r="P297" s="14">
        <f>14000+23004.73-24323.52</f>
        <v>12681.209999999995</v>
      </c>
      <c r="Q297" s="14">
        <f>6700+10971.75</f>
        <v>17671.75</v>
      </c>
      <c r="R297" s="14">
        <f>14000+6200</f>
        <v>20200</v>
      </c>
      <c r="S297" s="14">
        <f>20000+14500-10000</f>
        <v>24500</v>
      </c>
      <c r="T297" s="14">
        <f>8300+30500-10000</f>
        <v>28800</v>
      </c>
      <c r="U297" s="100"/>
      <c r="V297" s="15">
        <f t="shared" si="80"/>
        <v>308900</v>
      </c>
    </row>
    <row r="298" spans="1:22" ht="98.25" customHeight="1">
      <c r="A298" s="56" t="s">
        <v>87</v>
      </c>
      <c r="B298" s="48" t="s">
        <v>187</v>
      </c>
      <c r="C298" s="10" t="s">
        <v>24</v>
      </c>
      <c r="D298" s="10">
        <v>7110100590</v>
      </c>
      <c r="E298" s="10">
        <v>611</v>
      </c>
      <c r="F298" s="10">
        <v>223</v>
      </c>
      <c r="G298" s="10" t="s">
        <v>38</v>
      </c>
      <c r="H298" s="14">
        <v>10300</v>
      </c>
      <c r="I298" s="14">
        <v>850</v>
      </c>
      <c r="J298" s="14">
        <v>850</v>
      </c>
      <c r="K298" s="14">
        <v>850</v>
      </c>
      <c r="L298" s="14">
        <v>850</v>
      </c>
      <c r="M298" s="14">
        <v>850</v>
      </c>
      <c r="N298" s="14">
        <v>900</v>
      </c>
      <c r="O298" s="14">
        <v>900</v>
      </c>
      <c r="P298" s="14">
        <v>850</v>
      </c>
      <c r="Q298" s="14">
        <v>850</v>
      </c>
      <c r="R298" s="14">
        <v>850</v>
      </c>
      <c r="S298" s="14">
        <v>850</v>
      </c>
      <c r="T298" s="14">
        <v>850</v>
      </c>
      <c r="U298" s="100"/>
      <c r="V298" s="15">
        <f t="shared" si="80"/>
        <v>10300</v>
      </c>
    </row>
    <row r="299" spans="1:22" ht="102.75" customHeight="1" hidden="1">
      <c r="A299" s="56" t="s">
        <v>87</v>
      </c>
      <c r="B299" s="111" t="s">
        <v>180</v>
      </c>
      <c r="C299" s="10" t="s">
        <v>24</v>
      </c>
      <c r="D299" s="10">
        <v>7110100590</v>
      </c>
      <c r="E299" s="10">
        <v>611</v>
      </c>
      <c r="F299" s="10">
        <v>223</v>
      </c>
      <c r="G299" s="10" t="s">
        <v>40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00"/>
      <c r="V299" s="15">
        <f t="shared" si="80"/>
        <v>0</v>
      </c>
    </row>
    <row r="300" spans="1:22" ht="102" customHeight="1">
      <c r="A300" s="56" t="s">
        <v>87</v>
      </c>
      <c r="B300" s="63" t="s">
        <v>184</v>
      </c>
      <c r="C300" s="10" t="s">
        <v>24</v>
      </c>
      <c r="D300" s="10">
        <v>7110100590</v>
      </c>
      <c r="E300" s="10">
        <v>611</v>
      </c>
      <c r="F300" s="10">
        <v>226</v>
      </c>
      <c r="G300" s="10">
        <v>226</v>
      </c>
      <c r="H300" s="14">
        <v>146200</v>
      </c>
      <c r="I300" s="14">
        <f>1500+11000+62487.8</f>
        <v>74987.8</v>
      </c>
      <c r="J300" s="14">
        <f>7000+2060.98+10000</f>
        <v>19060.98</v>
      </c>
      <c r="K300" s="14">
        <v>7000</v>
      </c>
      <c r="L300" s="14">
        <f>43100-11000-24087.8</f>
        <v>8012.200000000001</v>
      </c>
      <c r="M300" s="14">
        <v>7000</v>
      </c>
      <c r="N300" s="14">
        <v>6000</v>
      </c>
      <c r="O300" s="14">
        <v>7000</v>
      </c>
      <c r="P300" s="14">
        <v>8500</v>
      </c>
      <c r="Q300" s="14">
        <v>5000</v>
      </c>
      <c r="R300" s="14">
        <v>0</v>
      </c>
      <c r="S300" s="14">
        <v>0</v>
      </c>
      <c r="T300" s="14">
        <f>8700-2060.98-3000</f>
        <v>3639.0200000000004</v>
      </c>
      <c r="U300" s="100"/>
      <c r="V300" s="15">
        <f t="shared" si="80"/>
        <v>146199.99999999997</v>
      </c>
    </row>
    <row r="301" spans="1:22" ht="114.75">
      <c r="A301" s="56" t="s">
        <v>87</v>
      </c>
      <c r="B301" s="48" t="s">
        <v>182</v>
      </c>
      <c r="C301" s="10" t="s">
        <v>24</v>
      </c>
      <c r="D301" s="10">
        <v>7110100590</v>
      </c>
      <c r="E301" s="10">
        <v>611</v>
      </c>
      <c r="F301" s="10">
        <v>850</v>
      </c>
      <c r="G301" s="10" t="s">
        <v>50</v>
      </c>
      <c r="H301" s="14">
        <v>65000</v>
      </c>
      <c r="I301" s="14">
        <f>50500-38870</f>
        <v>11630</v>
      </c>
      <c r="J301" s="14">
        <v>0</v>
      </c>
      <c r="K301" s="14">
        <v>38870</v>
      </c>
      <c r="L301" s="14">
        <v>1500</v>
      </c>
      <c r="M301" s="14">
        <v>0</v>
      </c>
      <c r="N301" s="14">
        <v>0</v>
      </c>
      <c r="O301" s="14">
        <v>0</v>
      </c>
      <c r="P301" s="14">
        <v>0</v>
      </c>
      <c r="Q301" s="14">
        <v>13000</v>
      </c>
      <c r="R301" s="14">
        <v>0</v>
      </c>
      <c r="S301" s="14">
        <v>0</v>
      </c>
      <c r="T301" s="14">
        <v>0</v>
      </c>
      <c r="U301" s="100"/>
      <c r="V301" s="15">
        <f t="shared" si="80"/>
        <v>65000</v>
      </c>
    </row>
    <row r="302" spans="1:22" ht="12.75" hidden="1">
      <c r="A302" s="56" t="s">
        <v>87</v>
      </c>
      <c r="B302" s="23" t="s">
        <v>16</v>
      </c>
      <c r="C302" s="16" t="s">
        <v>24</v>
      </c>
      <c r="D302" s="10">
        <v>7110100590</v>
      </c>
      <c r="E302" s="16">
        <v>611</v>
      </c>
      <c r="F302" s="16">
        <v>310</v>
      </c>
      <c r="G302" s="10"/>
      <c r="H302" s="14">
        <f>V302</f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00"/>
      <c r="V302" s="15">
        <f t="shared" si="80"/>
        <v>0</v>
      </c>
    </row>
    <row r="303" spans="1:22" ht="114.75">
      <c r="A303" s="56" t="s">
        <v>87</v>
      </c>
      <c r="B303" s="48" t="s">
        <v>183</v>
      </c>
      <c r="C303" s="10" t="s">
        <v>24</v>
      </c>
      <c r="D303" s="10">
        <v>7110100590</v>
      </c>
      <c r="E303" s="10">
        <v>611</v>
      </c>
      <c r="F303" s="10">
        <v>340</v>
      </c>
      <c r="G303" s="10">
        <v>340</v>
      </c>
      <c r="H303" s="14">
        <v>36700</v>
      </c>
      <c r="I303" s="14">
        <v>0</v>
      </c>
      <c r="J303" s="14">
        <v>4000</v>
      </c>
      <c r="K303" s="14">
        <v>4000</v>
      </c>
      <c r="L303" s="14">
        <v>4000</v>
      </c>
      <c r="M303" s="14">
        <v>4000</v>
      </c>
      <c r="N303" s="14">
        <v>4000</v>
      </c>
      <c r="O303" s="14">
        <v>4000</v>
      </c>
      <c r="P303" s="14">
        <v>5000</v>
      </c>
      <c r="Q303" s="14">
        <f>6100+1600</f>
        <v>7700</v>
      </c>
      <c r="R303" s="14">
        <v>0</v>
      </c>
      <c r="S303" s="14">
        <v>0</v>
      </c>
      <c r="T303" s="14">
        <v>0</v>
      </c>
      <c r="U303" s="100"/>
      <c r="V303" s="15">
        <f t="shared" si="80"/>
        <v>36700</v>
      </c>
    </row>
    <row r="304" spans="1:22" ht="12.75">
      <c r="A304" s="56" t="s">
        <v>87</v>
      </c>
      <c r="B304" s="63"/>
      <c r="C304" s="16"/>
      <c r="D304" s="16"/>
      <c r="E304" s="16"/>
      <c r="F304" s="16"/>
      <c r="G304" s="10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00"/>
      <c r="V304" s="15"/>
    </row>
    <row r="305" spans="1:22" ht="66" customHeight="1">
      <c r="A305" s="62" t="s">
        <v>87</v>
      </c>
      <c r="B305" s="90" t="s">
        <v>138</v>
      </c>
      <c r="C305" s="37" t="s">
        <v>24</v>
      </c>
      <c r="D305" s="37">
        <v>7120000000</v>
      </c>
      <c r="E305" s="37"/>
      <c r="F305" s="37"/>
      <c r="G305" s="37"/>
      <c r="H305" s="13">
        <f aca="true" t="shared" si="82" ref="H305:T305">H306</f>
        <v>200000</v>
      </c>
      <c r="I305" s="13">
        <f t="shared" si="82"/>
        <v>113500</v>
      </c>
      <c r="J305" s="13">
        <f t="shared" si="82"/>
        <v>0</v>
      </c>
      <c r="K305" s="13">
        <f t="shared" si="82"/>
        <v>10499.999999999998</v>
      </c>
      <c r="L305" s="13">
        <f t="shared" si="82"/>
        <v>20500</v>
      </c>
      <c r="M305" s="13">
        <f t="shared" si="82"/>
        <v>7249.999999999996</v>
      </c>
      <c r="N305" s="13">
        <f t="shared" si="82"/>
        <v>12499.999999999998</v>
      </c>
      <c r="O305" s="13">
        <f t="shared" si="82"/>
        <v>18750</v>
      </c>
      <c r="P305" s="13">
        <f t="shared" si="82"/>
        <v>12499.999999999996</v>
      </c>
      <c r="Q305" s="13">
        <f t="shared" si="82"/>
        <v>0</v>
      </c>
      <c r="R305" s="13">
        <f t="shared" si="82"/>
        <v>0</v>
      </c>
      <c r="S305" s="13">
        <f t="shared" si="82"/>
        <v>4500</v>
      </c>
      <c r="T305" s="13">
        <f t="shared" si="82"/>
        <v>0</v>
      </c>
      <c r="U305" s="101"/>
      <c r="V305" s="87">
        <f>SUM(I305:T305)</f>
        <v>200000</v>
      </c>
    </row>
    <row r="306" spans="1:22" ht="97.5" customHeight="1">
      <c r="A306" s="56" t="s">
        <v>87</v>
      </c>
      <c r="B306" s="48" t="s">
        <v>188</v>
      </c>
      <c r="C306" s="10" t="s">
        <v>24</v>
      </c>
      <c r="D306" s="10">
        <v>7120100380</v>
      </c>
      <c r="E306" s="10">
        <v>611</v>
      </c>
      <c r="F306" s="10">
        <v>290</v>
      </c>
      <c r="G306" s="14"/>
      <c r="H306" s="14">
        <v>200000</v>
      </c>
      <c r="I306" s="14">
        <v>113500</v>
      </c>
      <c r="J306" s="14">
        <v>0</v>
      </c>
      <c r="K306" s="14">
        <f>16666.67-6166.67</f>
        <v>10499.999999999998</v>
      </c>
      <c r="L306" s="14">
        <v>20500</v>
      </c>
      <c r="M306" s="14">
        <f>16666.67+16666.67-26083.34</f>
        <v>7249.999999999996</v>
      </c>
      <c r="N306" s="14">
        <f>16666.67-4166.67</f>
        <v>12499.999999999998</v>
      </c>
      <c r="O306" s="14">
        <f>16666.67-2083.33+4166.66</f>
        <v>18750</v>
      </c>
      <c r="P306" s="14">
        <f>16666.67+4166.67-8333.34</f>
        <v>12499.999999999996</v>
      </c>
      <c r="Q306" s="14">
        <v>0</v>
      </c>
      <c r="R306" s="14">
        <v>0</v>
      </c>
      <c r="S306" s="14">
        <f>16666.67+16666.67-4166.66+42750.01-67416.69</f>
        <v>4500</v>
      </c>
      <c r="T306" s="14">
        <v>0</v>
      </c>
      <c r="U306" s="100"/>
      <c r="V306" s="15">
        <f>SUM(I306:T306)</f>
        <v>200000</v>
      </c>
    </row>
    <row r="307" spans="1:22" ht="12.75">
      <c r="A307" s="56" t="s">
        <v>87</v>
      </c>
      <c r="B307" s="23"/>
      <c r="C307" s="16"/>
      <c r="D307" s="16"/>
      <c r="E307" s="16"/>
      <c r="F307" s="16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 t="s">
        <v>94</v>
      </c>
      <c r="T307" s="14"/>
      <c r="U307" s="100"/>
      <c r="V307" s="15">
        <f>SUM(I307:T307)</f>
        <v>0</v>
      </c>
    </row>
    <row r="308" spans="1:22" ht="63.75">
      <c r="A308" s="62" t="s">
        <v>87</v>
      </c>
      <c r="B308" s="90" t="s">
        <v>137</v>
      </c>
      <c r="C308" s="37" t="s">
        <v>24</v>
      </c>
      <c r="D308" s="37">
        <v>7130000000</v>
      </c>
      <c r="E308" s="35"/>
      <c r="F308" s="35"/>
      <c r="G308" s="24"/>
      <c r="H308" s="13">
        <f aca="true" t="shared" si="83" ref="H308:S308">H309</f>
        <v>10000</v>
      </c>
      <c r="I308" s="13">
        <f t="shared" si="83"/>
        <v>0</v>
      </c>
      <c r="J308" s="13">
        <f t="shared" si="83"/>
        <v>0</v>
      </c>
      <c r="K308" s="13">
        <f t="shared" si="83"/>
        <v>0</v>
      </c>
      <c r="L308" s="13">
        <f t="shared" si="83"/>
        <v>10000</v>
      </c>
      <c r="M308" s="13">
        <f t="shared" si="83"/>
        <v>0</v>
      </c>
      <c r="N308" s="13">
        <f t="shared" si="83"/>
        <v>0</v>
      </c>
      <c r="O308" s="13">
        <f t="shared" si="83"/>
        <v>0</v>
      </c>
      <c r="P308" s="13">
        <f t="shared" si="83"/>
        <v>0</v>
      </c>
      <c r="Q308" s="13">
        <f t="shared" si="83"/>
        <v>0</v>
      </c>
      <c r="R308" s="13">
        <f t="shared" si="83"/>
        <v>0</v>
      </c>
      <c r="S308" s="13">
        <f t="shared" si="83"/>
        <v>0</v>
      </c>
      <c r="T308" s="13">
        <v>0</v>
      </c>
      <c r="U308" s="101"/>
      <c r="V308" s="87">
        <f>V309</f>
        <v>10000</v>
      </c>
    </row>
    <row r="309" spans="1:22" ht="42" customHeight="1">
      <c r="A309" s="56" t="s">
        <v>87</v>
      </c>
      <c r="B309" s="48" t="s">
        <v>189</v>
      </c>
      <c r="C309" s="10" t="s">
        <v>24</v>
      </c>
      <c r="D309" s="10">
        <v>7130100390</v>
      </c>
      <c r="E309" s="10">
        <v>240</v>
      </c>
      <c r="F309" s="10">
        <v>226</v>
      </c>
      <c r="G309" s="14"/>
      <c r="H309" s="14">
        <v>10000</v>
      </c>
      <c r="I309" s="14">
        <v>0</v>
      </c>
      <c r="J309" s="14">
        <v>0</v>
      </c>
      <c r="K309" s="14">
        <v>0</v>
      </c>
      <c r="L309" s="14">
        <v>10000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00"/>
      <c r="V309" s="15">
        <f>SUM(I309:T309)</f>
        <v>10000</v>
      </c>
    </row>
    <row r="310" spans="1:22" ht="12.75">
      <c r="A310" s="56"/>
      <c r="B310" s="23"/>
      <c r="C310" s="10"/>
      <c r="D310" s="10"/>
      <c r="E310" s="10"/>
      <c r="F310" s="10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07"/>
      <c r="V310" s="15"/>
    </row>
    <row r="311" spans="1:22" ht="12.75">
      <c r="A311" s="56"/>
      <c r="B311" s="25" t="s">
        <v>45</v>
      </c>
      <c r="C311" s="25" t="s">
        <v>24</v>
      </c>
      <c r="D311" s="16"/>
      <c r="E311" s="16"/>
      <c r="F311" s="16"/>
      <c r="G311" s="14"/>
      <c r="H311" s="30">
        <f aca="true" t="shared" si="84" ref="H311:T311">H308+H305+H291</f>
        <v>6086300</v>
      </c>
      <c r="I311" s="30">
        <f t="shared" si="84"/>
        <v>368150</v>
      </c>
      <c r="J311" s="30">
        <f t="shared" si="84"/>
        <v>499850</v>
      </c>
      <c r="K311" s="30">
        <f t="shared" si="84"/>
        <v>535443.52</v>
      </c>
      <c r="L311" s="30">
        <f t="shared" si="84"/>
        <v>506662.2</v>
      </c>
      <c r="M311" s="30">
        <f t="shared" si="84"/>
        <v>482900</v>
      </c>
      <c r="N311" s="30">
        <f t="shared" si="84"/>
        <v>479200</v>
      </c>
      <c r="O311" s="30">
        <f t="shared" si="84"/>
        <v>631100</v>
      </c>
      <c r="P311" s="30">
        <f t="shared" si="84"/>
        <v>458731.21</v>
      </c>
      <c r="Q311" s="30">
        <f t="shared" si="84"/>
        <v>475851</v>
      </c>
      <c r="R311" s="30">
        <f t="shared" si="84"/>
        <v>483522.72</v>
      </c>
      <c r="S311" s="30">
        <f t="shared" si="84"/>
        <v>615577</v>
      </c>
      <c r="T311" s="30">
        <f t="shared" si="84"/>
        <v>549312.3500000001</v>
      </c>
      <c r="U311" s="97"/>
      <c r="V311" s="97">
        <f>V308+V305+V291</f>
        <v>6086300</v>
      </c>
    </row>
    <row r="312" spans="1:22" ht="12.75">
      <c r="A312" s="56"/>
      <c r="B312" s="25"/>
      <c r="C312" s="26"/>
      <c r="D312" s="16"/>
      <c r="E312" s="16"/>
      <c r="F312" s="16"/>
      <c r="G312" s="14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102"/>
      <c r="V312" s="15">
        <f>SUM(I312:T312)</f>
        <v>0</v>
      </c>
    </row>
    <row r="313" spans="1:22" ht="25.5" hidden="1">
      <c r="A313" s="56" t="s">
        <v>37</v>
      </c>
      <c r="B313" s="90" t="s">
        <v>76</v>
      </c>
      <c r="C313" s="36" t="s">
        <v>77</v>
      </c>
      <c r="D313" s="36">
        <v>9510010520</v>
      </c>
      <c r="E313" s="36"/>
      <c r="F313" s="36"/>
      <c r="G313" s="13"/>
      <c r="H313" s="13">
        <f aca="true" t="shared" si="85" ref="H313:T313">H314</f>
        <v>0</v>
      </c>
      <c r="I313" s="13">
        <f t="shared" si="85"/>
        <v>0</v>
      </c>
      <c r="J313" s="13">
        <f t="shared" si="85"/>
        <v>0</v>
      </c>
      <c r="K313" s="13">
        <f t="shared" si="85"/>
        <v>0</v>
      </c>
      <c r="L313" s="13">
        <f t="shared" si="85"/>
        <v>0</v>
      </c>
      <c r="M313" s="13">
        <f t="shared" si="85"/>
        <v>0</v>
      </c>
      <c r="N313" s="13">
        <f t="shared" si="85"/>
        <v>0</v>
      </c>
      <c r="O313" s="13">
        <f t="shared" si="85"/>
        <v>0</v>
      </c>
      <c r="P313" s="13">
        <f t="shared" si="85"/>
        <v>0</v>
      </c>
      <c r="Q313" s="13">
        <f t="shared" si="85"/>
        <v>0</v>
      </c>
      <c r="R313" s="13">
        <f t="shared" si="85"/>
        <v>0</v>
      </c>
      <c r="S313" s="13">
        <f t="shared" si="85"/>
        <v>0</v>
      </c>
      <c r="T313" s="13">
        <f t="shared" si="85"/>
        <v>0</v>
      </c>
      <c r="U313" s="101"/>
      <c r="V313" s="15">
        <f>SUM(I313:T313)</f>
        <v>0</v>
      </c>
    </row>
    <row r="314" spans="1:22" ht="38.25" hidden="1">
      <c r="A314" s="56" t="s">
        <v>37</v>
      </c>
      <c r="B314" s="23" t="s">
        <v>14</v>
      </c>
      <c r="C314" s="28" t="s">
        <v>77</v>
      </c>
      <c r="D314" s="16">
        <v>9510010520</v>
      </c>
      <c r="E314" s="16">
        <v>870</v>
      </c>
      <c r="F314" s="16">
        <v>290</v>
      </c>
      <c r="G314" s="71" t="s">
        <v>78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00"/>
      <c r="V314" s="15">
        <f>SUM(I314:T314)</f>
        <v>0</v>
      </c>
    </row>
    <row r="315" spans="1:22" ht="12.75">
      <c r="A315" s="66"/>
      <c r="B315" s="92" t="s">
        <v>74</v>
      </c>
      <c r="C315" s="72"/>
      <c r="D315" s="45"/>
      <c r="E315" s="45"/>
      <c r="F315" s="45"/>
      <c r="G315" s="49"/>
      <c r="H315" s="42">
        <f aca="true" t="shared" si="86" ref="H315:T315">H311</f>
        <v>6086300</v>
      </c>
      <c r="I315" s="42">
        <f t="shared" si="86"/>
        <v>368150</v>
      </c>
      <c r="J315" s="42">
        <f t="shared" si="86"/>
        <v>499850</v>
      </c>
      <c r="K315" s="42">
        <f t="shared" si="86"/>
        <v>535443.52</v>
      </c>
      <c r="L315" s="42">
        <f t="shared" si="86"/>
        <v>506662.2</v>
      </c>
      <c r="M315" s="42">
        <f t="shared" si="86"/>
        <v>482900</v>
      </c>
      <c r="N315" s="42">
        <f t="shared" si="86"/>
        <v>479200</v>
      </c>
      <c r="O315" s="42">
        <f t="shared" si="86"/>
        <v>631100</v>
      </c>
      <c r="P315" s="42">
        <f t="shared" si="86"/>
        <v>458731.21</v>
      </c>
      <c r="Q315" s="42">
        <f t="shared" si="86"/>
        <v>475851</v>
      </c>
      <c r="R315" s="42">
        <f t="shared" si="86"/>
        <v>483522.72</v>
      </c>
      <c r="S315" s="42">
        <f t="shared" si="86"/>
        <v>615577</v>
      </c>
      <c r="T315" s="42">
        <f t="shared" si="86"/>
        <v>549312.3500000001</v>
      </c>
      <c r="U315" s="104"/>
      <c r="V315" s="50">
        <f>V311</f>
        <v>6086300</v>
      </c>
    </row>
    <row r="316" spans="1:22" ht="12.75">
      <c r="A316" s="60"/>
      <c r="B316" s="43"/>
      <c r="C316" s="61"/>
      <c r="D316" s="10"/>
      <c r="E316" s="10"/>
      <c r="F316" s="10"/>
      <c r="G316" s="14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104"/>
      <c r="V316" s="50"/>
    </row>
    <row r="317" spans="1:22" ht="25.5" hidden="1">
      <c r="A317" s="62" t="s">
        <v>87</v>
      </c>
      <c r="B317" s="90" t="s">
        <v>95</v>
      </c>
      <c r="C317" s="37" t="s">
        <v>77</v>
      </c>
      <c r="D317" s="37">
        <v>8800000000</v>
      </c>
      <c r="E317" s="41"/>
      <c r="F317" s="41"/>
      <c r="G317" s="24"/>
      <c r="H317" s="13">
        <f aca="true" t="shared" si="87" ref="H317:T317">H318</f>
        <v>0</v>
      </c>
      <c r="I317" s="13">
        <f t="shared" si="87"/>
        <v>0</v>
      </c>
      <c r="J317" s="13">
        <f t="shared" si="87"/>
        <v>0</v>
      </c>
      <c r="K317" s="13">
        <f t="shared" si="87"/>
        <v>0</v>
      </c>
      <c r="L317" s="13">
        <f t="shared" si="87"/>
        <v>0</v>
      </c>
      <c r="M317" s="13">
        <f t="shared" si="87"/>
        <v>0</v>
      </c>
      <c r="N317" s="13">
        <f t="shared" si="87"/>
        <v>0</v>
      </c>
      <c r="O317" s="13">
        <f t="shared" si="87"/>
        <v>0</v>
      </c>
      <c r="P317" s="13">
        <f t="shared" si="87"/>
        <v>0</v>
      </c>
      <c r="Q317" s="13">
        <f t="shared" si="87"/>
        <v>0</v>
      </c>
      <c r="R317" s="13">
        <f t="shared" si="87"/>
        <v>0</v>
      </c>
      <c r="S317" s="13">
        <f t="shared" si="87"/>
        <v>0</v>
      </c>
      <c r="T317" s="13">
        <f t="shared" si="87"/>
        <v>0</v>
      </c>
      <c r="U317" s="101"/>
      <c r="V317" s="15">
        <f>SUM(I317:T317)</f>
        <v>0</v>
      </c>
    </row>
    <row r="318" spans="1:22" ht="25.5" hidden="1">
      <c r="A318" s="60" t="s">
        <v>87</v>
      </c>
      <c r="B318" s="48" t="s">
        <v>95</v>
      </c>
      <c r="C318" s="10" t="s">
        <v>77</v>
      </c>
      <c r="D318" s="78" t="s">
        <v>149</v>
      </c>
      <c r="E318" s="10">
        <v>730</v>
      </c>
      <c r="F318" s="10">
        <v>290</v>
      </c>
      <c r="G318" s="14"/>
      <c r="H318" s="14">
        <v>0</v>
      </c>
      <c r="I318" s="73">
        <v>0</v>
      </c>
      <c r="J318" s="73">
        <v>0</v>
      </c>
      <c r="K318" s="73">
        <v>0</v>
      </c>
      <c r="L318" s="73">
        <v>0</v>
      </c>
      <c r="M318" s="73">
        <v>0</v>
      </c>
      <c r="N318" s="73">
        <v>0</v>
      </c>
      <c r="O318" s="73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00"/>
      <c r="V318" s="15">
        <f>SUM(I318:T318)</f>
        <v>0</v>
      </c>
    </row>
    <row r="319" spans="1:22" ht="12.75" hidden="1">
      <c r="A319" s="60"/>
      <c r="B319" s="43"/>
      <c r="C319" s="61"/>
      <c r="D319" s="10"/>
      <c r="E319" s="10"/>
      <c r="F319" s="10"/>
      <c r="G319" s="14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104"/>
      <c r="V319" s="15"/>
    </row>
    <row r="320" spans="1:22" ht="12.75" hidden="1">
      <c r="A320" s="66"/>
      <c r="B320" s="92" t="s">
        <v>96</v>
      </c>
      <c r="C320" s="72"/>
      <c r="D320" s="45"/>
      <c r="E320" s="45"/>
      <c r="F320" s="45"/>
      <c r="G320" s="49"/>
      <c r="H320" s="42">
        <f aca="true" t="shared" si="88" ref="H320:T320">H317</f>
        <v>0</v>
      </c>
      <c r="I320" s="42">
        <f t="shared" si="88"/>
        <v>0</v>
      </c>
      <c r="J320" s="42">
        <f t="shared" si="88"/>
        <v>0</v>
      </c>
      <c r="K320" s="42">
        <f t="shared" si="88"/>
        <v>0</v>
      </c>
      <c r="L320" s="42">
        <f t="shared" si="88"/>
        <v>0</v>
      </c>
      <c r="M320" s="42">
        <f t="shared" si="88"/>
        <v>0</v>
      </c>
      <c r="N320" s="42">
        <f t="shared" si="88"/>
        <v>0</v>
      </c>
      <c r="O320" s="42">
        <f t="shared" si="88"/>
        <v>0</v>
      </c>
      <c r="P320" s="42">
        <f t="shared" si="88"/>
        <v>0</v>
      </c>
      <c r="Q320" s="42">
        <f t="shared" si="88"/>
        <v>0</v>
      </c>
      <c r="R320" s="42">
        <f t="shared" si="88"/>
        <v>0</v>
      </c>
      <c r="S320" s="42">
        <f t="shared" si="88"/>
        <v>0</v>
      </c>
      <c r="T320" s="42">
        <f t="shared" si="88"/>
        <v>0</v>
      </c>
      <c r="U320" s="104"/>
      <c r="V320" s="54">
        <f>V317</f>
        <v>0</v>
      </c>
    </row>
    <row r="321" spans="1:22" ht="12.75">
      <c r="A321" s="56"/>
      <c r="B321" s="25"/>
      <c r="C321" s="25"/>
      <c r="D321" s="10"/>
      <c r="E321" s="10"/>
      <c r="F321" s="10"/>
      <c r="G321" s="14"/>
      <c r="H321" s="30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00"/>
      <c r="V321" s="52"/>
    </row>
    <row r="322" spans="1:22" ht="12.75">
      <c r="A322" s="56"/>
      <c r="B322" s="23"/>
      <c r="C322" s="10"/>
      <c r="D322" s="10"/>
      <c r="E322" s="10"/>
      <c r="F322" s="10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00"/>
      <c r="V322" s="52"/>
    </row>
    <row r="323" spans="1:22" ht="12.75">
      <c r="A323" s="136" t="s">
        <v>86</v>
      </c>
      <c r="B323" s="136"/>
      <c r="C323" s="136"/>
      <c r="D323" s="136"/>
      <c r="E323" s="136"/>
      <c r="F323" s="136"/>
      <c r="G323" s="136"/>
      <c r="H323" s="53">
        <f aca="true" t="shared" si="89" ref="H323:T323">H105+H113+H130+H155+H210+H222+H275+H287+H315+H313+H320</f>
        <v>79079861.33</v>
      </c>
      <c r="I323" s="53">
        <f t="shared" si="89"/>
        <v>3021635.3200000003</v>
      </c>
      <c r="J323" s="53">
        <f t="shared" si="89"/>
        <v>5427819.8</v>
      </c>
      <c r="K323" s="53">
        <f t="shared" si="89"/>
        <v>5102623.359999999</v>
      </c>
      <c r="L323" s="53">
        <f t="shared" si="89"/>
        <v>7615406.42</v>
      </c>
      <c r="M323" s="53">
        <f t="shared" si="89"/>
        <v>5450394.2299999995</v>
      </c>
      <c r="N323" s="53">
        <f t="shared" si="89"/>
        <v>14495089.61</v>
      </c>
      <c r="O323" s="53">
        <f t="shared" si="89"/>
        <v>6412345.65</v>
      </c>
      <c r="P323" s="53">
        <f t="shared" si="89"/>
        <v>5549206.31</v>
      </c>
      <c r="Q323" s="53">
        <f t="shared" si="89"/>
        <v>6402657.58</v>
      </c>
      <c r="R323" s="53">
        <f t="shared" si="89"/>
        <v>6139468.71</v>
      </c>
      <c r="S323" s="53">
        <f t="shared" si="89"/>
        <v>6386140.42</v>
      </c>
      <c r="T323" s="53">
        <f t="shared" si="89"/>
        <v>7077073.92</v>
      </c>
      <c r="U323" s="104"/>
      <c r="V323" s="108">
        <f>V105+V113+V130+V155+V210+V222+V275+V287+V315+V313+V320</f>
        <v>79079861.33</v>
      </c>
    </row>
    <row r="324" spans="1:22" ht="27.75" customHeight="1">
      <c r="A324" s="136" t="s">
        <v>89</v>
      </c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05"/>
      <c r="V324" s="52"/>
    </row>
    <row r="325" spans="1:22" ht="57" customHeight="1">
      <c r="A325" s="65"/>
      <c r="B325" s="56"/>
      <c r="C325" s="138" t="s">
        <v>91</v>
      </c>
      <c r="D325" s="138"/>
      <c r="E325" s="138"/>
      <c r="F325" s="138"/>
      <c r="G325" s="56"/>
      <c r="H325" s="57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105"/>
      <c r="V325" s="15"/>
    </row>
    <row r="326" spans="1:22" ht="12.75">
      <c r="A326" s="56"/>
      <c r="B326" s="74"/>
      <c r="C326" s="139"/>
      <c r="D326" s="139"/>
      <c r="E326" s="139"/>
      <c r="F326" s="139"/>
      <c r="G326" s="74"/>
      <c r="H326" s="53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104"/>
      <c r="V326" s="15"/>
    </row>
    <row r="327" spans="1:22" ht="83.25" customHeight="1">
      <c r="A327" s="56" t="s">
        <v>87</v>
      </c>
      <c r="B327" s="48" t="s">
        <v>190</v>
      </c>
      <c r="C327" s="137" t="s">
        <v>92</v>
      </c>
      <c r="D327" s="137"/>
      <c r="E327" s="137"/>
      <c r="F327" s="137"/>
      <c r="G327" s="74"/>
      <c r="H327" s="13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17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00"/>
      <c r="V327" s="15"/>
    </row>
    <row r="328" spans="1:22" ht="84" customHeight="1">
      <c r="A328" s="56" t="s">
        <v>87</v>
      </c>
      <c r="B328" s="48" t="s">
        <v>191</v>
      </c>
      <c r="C328" s="137" t="s">
        <v>93</v>
      </c>
      <c r="D328" s="137"/>
      <c r="E328" s="137"/>
      <c r="F328" s="137"/>
      <c r="G328" s="74"/>
      <c r="H328" s="13">
        <f>N328</f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17">
        <v>0</v>
      </c>
      <c r="S328" s="14">
        <v>0</v>
      </c>
      <c r="T328" s="14">
        <v>0</v>
      </c>
      <c r="U328" s="100"/>
      <c r="V328" s="15"/>
    </row>
    <row r="329" spans="1:22" ht="12.75">
      <c r="A329" s="56"/>
      <c r="B329" s="74"/>
      <c r="C329" s="139"/>
      <c r="D329" s="139"/>
      <c r="E329" s="139"/>
      <c r="F329" s="139"/>
      <c r="G329" s="7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101"/>
      <c r="V329" s="15"/>
    </row>
    <row r="330" spans="1:22" ht="12.75">
      <c r="A330" s="133" t="s">
        <v>90</v>
      </c>
      <c r="B330" s="133"/>
      <c r="C330" s="133"/>
      <c r="D330" s="133"/>
      <c r="E330" s="133"/>
      <c r="F330" s="133"/>
      <c r="G330" s="74"/>
      <c r="H330" s="53">
        <f aca="true" t="shared" si="90" ref="H330:T330">H327-H328</f>
        <v>0</v>
      </c>
      <c r="I330" s="53">
        <f t="shared" si="90"/>
        <v>0</v>
      </c>
      <c r="J330" s="53">
        <f t="shared" si="90"/>
        <v>0</v>
      </c>
      <c r="K330" s="53">
        <f t="shared" si="90"/>
        <v>0</v>
      </c>
      <c r="L330" s="53">
        <f t="shared" si="90"/>
        <v>0</v>
      </c>
      <c r="M330" s="53">
        <f t="shared" si="90"/>
        <v>0</v>
      </c>
      <c r="N330" s="53">
        <f t="shared" si="90"/>
        <v>0</v>
      </c>
      <c r="O330" s="53">
        <f t="shared" si="90"/>
        <v>0</v>
      </c>
      <c r="P330" s="53">
        <f t="shared" si="90"/>
        <v>0</v>
      </c>
      <c r="Q330" s="53">
        <f t="shared" si="90"/>
        <v>0</v>
      </c>
      <c r="R330" s="53">
        <f t="shared" si="90"/>
        <v>0</v>
      </c>
      <c r="S330" s="53">
        <f t="shared" si="90"/>
        <v>0</v>
      </c>
      <c r="T330" s="53">
        <f t="shared" si="90"/>
        <v>0</v>
      </c>
      <c r="U330" s="104"/>
      <c r="V330" s="15"/>
    </row>
    <row r="331" spans="1:22" ht="12" customHeight="1">
      <c r="A331" s="75"/>
      <c r="B331" s="76"/>
      <c r="C331" s="76"/>
      <c r="D331" s="76"/>
      <c r="E331" s="76"/>
      <c r="F331" s="76"/>
      <c r="G331" s="76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15"/>
    </row>
    <row r="332" spans="1:22" ht="12" customHeight="1">
      <c r="A332" s="4"/>
      <c r="B332" s="6"/>
      <c r="C332" s="6"/>
      <c r="D332" s="6"/>
      <c r="E332" s="6"/>
      <c r="F332" s="6"/>
      <c r="G332" s="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2"/>
    </row>
    <row r="333" spans="1:22" ht="12" customHeight="1">
      <c r="A333" s="4"/>
      <c r="B333" s="6"/>
      <c r="C333" s="6"/>
      <c r="D333" s="6"/>
      <c r="E333" s="6"/>
      <c r="F333" s="6"/>
      <c r="G333" s="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"/>
    </row>
    <row r="334" spans="1:22" ht="12" customHeight="1">
      <c r="A334" s="134" t="s">
        <v>81</v>
      </c>
      <c r="B334" s="134"/>
      <c r="C334" s="134"/>
      <c r="D334" s="134"/>
      <c r="E334" s="134"/>
      <c r="F334" s="134"/>
      <c r="G334" s="134"/>
      <c r="H334" s="9"/>
      <c r="I334" s="9"/>
      <c r="J334" s="9"/>
      <c r="K334" s="9" t="s">
        <v>82</v>
      </c>
      <c r="L334" s="19"/>
      <c r="M334" s="5"/>
      <c r="N334" s="5"/>
      <c r="O334" s="5"/>
      <c r="P334" s="5"/>
      <c r="Q334" s="5"/>
      <c r="R334" s="5"/>
      <c r="S334" s="5"/>
      <c r="T334" s="5"/>
      <c r="U334" s="5"/>
      <c r="V334" s="2"/>
    </row>
    <row r="335" spans="1:22" ht="12" customHeight="1">
      <c r="A335" s="20"/>
      <c r="B335" s="21"/>
      <c r="C335" s="21"/>
      <c r="D335" s="21"/>
      <c r="E335" s="21"/>
      <c r="F335" s="21"/>
      <c r="G335" s="21"/>
      <c r="H335" s="19"/>
      <c r="I335" s="19"/>
      <c r="J335" s="19"/>
      <c r="K335" s="19"/>
      <c r="L335" s="19"/>
      <c r="M335" s="5"/>
      <c r="N335" s="5"/>
      <c r="O335" s="5"/>
      <c r="P335" s="5"/>
      <c r="Q335" s="5"/>
      <c r="R335" s="5"/>
      <c r="S335" s="5"/>
      <c r="T335" s="5"/>
      <c r="U335" s="5"/>
      <c r="V335" s="2"/>
    </row>
    <row r="336" spans="1:22" ht="12" customHeight="1">
      <c r="A336" s="20"/>
      <c r="B336" s="21"/>
      <c r="C336" s="21"/>
      <c r="D336" s="21"/>
      <c r="E336" s="21"/>
      <c r="F336" s="21"/>
      <c r="G336" s="21"/>
      <c r="H336" s="19"/>
      <c r="I336" s="19"/>
      <c r="J336" s="19"/>
      <c r="K336" s="19"/>
      <c r="L336" s="19"/>
      <c r="M336" s="5"/>
      <c r="N336" s="5"/>
      <c r="O336" s="5"/>
      <c r="P336" s="5"/>
      <c r="Q336" s="5"/>
      <c r="R336" s="5"/>
      <c r="S336" s="5"/>
      <c r="T336" s="5"/>
      <c r="U336" s="5"/>
      <c r="V336" s="2"/>
    </row>
    <row r="337" spans="1:12" ht="12.75">
      <c r="A337" s="17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>
      <c r="A338" s="17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2.75">
      <c r="A339" s="134" t="s">
        <v>230</v>
      </c>
      <c r="B339" s="134"/>
      <c r="C339" s="134"/>
      <c r="D339" s="134"/>
      <c r="E339" s="9"/>
      <c r="F339" s="9"/>
      <c r="G339" s="9"/>
      <c r="H339" s="9"/>
      <c r="I339" s="9"/>
      <c r="J339" s="9"/>
      <c r="K339" s="9"/>
      <c r="L339" s="9"/>
    </row>
    <row r="340" spans="1:12" ht="12.75">
      <c r="A340" s="134" t="s">
        <v>84</v>
      </c>
      <c r="B340" s="134"/>
      <c r="C340" s="134"/>
      <c r="D340" s="134"/>
      <c r="E340" s="134"/>
      <c r="F340" s="134"/>
      <c r="G340" s="134"/>
      <c r="H340" s="9"/>
      <c r="I340" s="9"/>
      <c r="J340" s="9"/>
      <c r="K340" s="9" t="s">
        <v>231</v>
      </c>
      <c r="L340" s="9"/>
    </row>
    <row r="341" spans="1:12" ht="12.75">
      <c r="A341" s="17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2.75">
      <c r="A342" s="17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2.75">
      <c r="A343" s="17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17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</sheetData>
  <sheetProtection/>
  <mergeCells count="35">
    <mergeCell ref="A324:T324"/>
    <mergeCell ref="C325:F325"/>
    <mergeCell ref="C326:F326"/>
    <mergeCell ref="A340:G340"/>
    <mergeCell ref="C327:F327"/>
    <mergeCell ref="C328:F328"/>
    <mergeCell ref="C329:F329"/>
    <mergeCell ref="A330:F330"/>
    <mergeCell ref="G251:G252"/>
    <mergeCell ref="A334:G334"/>
    <mergeCell ref="A339:D339"/>
    <mergeCell ref="G255:G256"/>
    <mergeCell ref="A323:G323"/>
    <mergeCell ref="G253:G254"/>
    <mergeCell ref="C6:G7"/>
    <mergeCell ref="H6:T6"/>
    <mergeCell ref="P7:P8"/>
    <mergeCell ref="Q7:Q8"/>
    <mergeCell ref="R7:R8"/>
    <mergeCell ref="N7:N8"/>
    <mergeCell ref="O7:O8"/>
    <mergeCell ref="J7:J8"/>
    <mergeCell ref="K7:K8"/>
    <mergeCell ref="L7:L8"/>
    <mergeCell ref="M7:M8"/>
    <mergeCell ref="A2:T2"/>
    <mergeCell ref="A3:T3"/>
    <mergeCell ref="A4:T4"/>
    <mergeCell ref="A5:T5"/>
    <mergeCell ref="A6:A8"/>
    <mergeCell ref="B6:B8"/>
    <mergeCell ref="S7:S8"/>
    <mergeCell ref="T7:T8"/>
    <mergeCell ref="H7:H8"/>
    <mergeCell ref="I7:I8"/>
  </mergeCells>
  <printOptions/>
  <pageMargins left="0.48" right="0.16" top="0.23" bottom="0.22" header="0.2" footer="0.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6"/>
  <sheetViews>
    <sheetView tabSelected="1" zoomScalePageLayoutView="0" workbookViewId="0" topLeftCell="A1">
      <pane ySplit="8" topLeftCell="A48" activePane="bottomLeft" state="frozen"/>
      <selection pane="topLeft" activeCell="A1" sqref="A1"/>
      <selection pane="bottomLeft" activeCell="M56" sqref="M56"/>
    </sheetView>
  </sheetViews>
  <sheetFormatPr defaultColWidth="9.140625" defaultRowHeight="12.75"/>
  <cols>
    <col min="1" max="1" width="12.28125" style="1" customWidth="1"/>
    <col min="2" max="2" width="30.28125" style="0" customWidth="1"/>
    <col min="4" max="4" width="13.00390625" style="0" customWidth="1"/>
    <col min="5" max="5" width="7.140625" style="0" customWidth="1"/>
    <col min="6" max="6" width="4.7109375" style="0" hidden="1" customWidth="1"/>
    <col min="7" max="7" width="8.28125" style="0" customWidth="1"/>
    <col min="8" max="8" width="14.00390625" style="0" customWidth="1"/>
    <col min="9" max="9" width="12.57421875" style="0" customWidth="1"/>
    <col min="10" max="10" width="12.8515625" style="0" customWidth="1"/>
    <col min="11" max="11" width="11.7109375" style="0" customWidth="1"/>
    <col min="12" max="13" width="12.421875" style="0" customWidth="1"/>
    <col min="14" max="14" width="12.7109375" style="0" customWidth="1"/>
    <col min="15" max="15" width="12.421875" style="0" customWidth="1"/>
    <col min="16" max="16" width="12.7109375" style="0" customWidth="1"/>
    <col min="17" max="17" width="13.140625" style="0" customWidth="1"/>
    <col min="18" max="18" width="13.28125" style="0" customWidth="1"/>
    <col min="19" max="19" width="12.28125" style="0" customWidth="1"/>
    <col min="20" max="20" width="15.28125" style="0" customWidth="1"/>
    <col min="21" max="21" width="3.140625" style="0" customWidth="1"/>
    <col min="22" max="22" width="12.7109375" style="0" hidden="1" customWidth="1"/>
  </cols>
  <sheetData>
    <row r="1" ht="12.75">
      <c r="V1" t="s">
        <v>202</v>
      </c>
    </row>
    <row r="2" spans="1:21" ht="15.75">
      <c r="A2" s="126" t="s">
        <v>100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82"/>
    </row>
    <row r="3" spans="1:21" ht="15.75">
      <c r="A3" s="126" t="s">
        <v>233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82"/>
    </row>
    <row r="4" spans="1:21" ht="15.75">
      <c r="A4" s="127" t="s">
        <v>85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83"/>
    </row>
    <row r="5" spans="1:21" ht="15.75">
      <c r="A5" s="127" t="s">
        <v>202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83"/>
    </row>
    <row r="6" spans="1:22" ht="18" customHeight="1">
      <c r="A6" s="135" t="s">
        <v>97</v>
      </c>
      <c r="B6" s="133" t="s">
        <v>0</v>
      </c>
      <c r="C6" s="130" t="s">
        <v>98</v>
      </c>
      <c r="D6" s="130"/>
      <c r="E6" s="130"/>
      <c r="F6" s="130"/>
      <c r="G6" s="130"/>
      <c r="H6" s="129" t="s">
        <v>99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99"/>
      <c r="V6" s="22"/>
    </row>
    <row r="7" spans="1:22" ht="10.5" customHeight="1">
      <c r="A7" s="135"/>
      <c r="B7" s="133"/>
      <c r="C7" s="130"/>
      <c r="D7" s="130"/>
      <c r="E7" s="130"/>
      <c r="F7" s="130"/>
      <c r="G7" s="130"/>
      <c r="H7" s="128" t="s">
        <v>88</v>
      </c>
      <c r="I7" s="131" t="s">
        <v>25</v>
      </c>
      <c r="J7" s="131" t="s">
        <v>26</v>
      </c>
      <c r="K7" s="131" t="s">
        <v>27</v>
      </c>
      <c r="L7" s="131" t="s">
        <v>28</v>
      </c>
      <c r="M7" s="131" t="s">
        <v>29</v>
      </c>
      <c r="N7" s="131" t="s">
        <v>30</v>
      </c>
      <c r="O7" s="131" t="s">
        <v>31</v>
      </c>
      <c r="P7" s="131" t="s">
        <v>32</v>
      </c>
      <c r="Q7" s="131" t="s">
        <v>33</v>
      </c>
      <c r="R7" s="131" t="s">
        <v>34</v>
      </c>
      <c r="S7" s="131" t="s">
        <v>35</v>
      </c>
      <c r="T7" s="131" t="s">
        <v>36</v>
      </c>
      <c r="U7" s="96"/>
      <c r="V7" s="22"/>
    </row>
    <row r="8" spans="1:22" ht="36.75" customHeight="1">
      <c r="A8" s="135"/>
      <c r="B8" s="133"/>
      <c r="C8" s="81" t="s">
        <v>101</v>
      </c>
      <c r="D8" s="81" t="s">
        <v>1</v>
      </c>
      <c r="E8" s="81" t="s">
        <v>2</v>
      </c>
      <c r="F8" s="81" t="s">
        <v>3</v>
      </c>
      <c r="G8" s="81" t="s">
        <v>4</v>
      </c>
      <c r="H8" s="128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96"/>
      <c r="V8" s="22"/>
    </row>
    <row r="9" spans="1:22" ht="40.5" customHeight="1">
      <c r="A9" s="56" t="s">
        <v>87</v>
      </c>
      <c r="B9" s="48" t="s">
        <v>155</v>
      </c>
      <c r="C9" s="23" t="s">
        <v>8</v>
      </c>
      <c r="D9" s="23">
        <v>8010000190</v>
      </c>
      <c r="E9" s="23">
        <v>121</v>
      </c>
      <c r="F9" s="23">
        <v>211</v>
      </c>
      <c r="G9" s="23"/>
      <c r="H9" s="24">
        <v>1046467</v>
      </c>
      <c r="I9" s="14">
        <f>37495.26-13474.16</f>
        <v>24021.100000000002</v>
      </c>
      <c r="J9" s="14">
        <f>84387.69+23998.41</f>
        <v>108386.1</v>
      </c>
      <c r="K9" s="14">
        <f>82677.75+12968-25936</f>
        <v>69709.75</v>
      </c>
      <c r="L9" s="14">
        <v>82677.75</v>
      </c>
      <c r="M9" s="14">
        <v>82677.75</v>
      </c>
      <c r="N9" s="14">
        <v>82677.75</v>
      </c>
      <c r="O9" s="14">
        <v>82677.75</v>
      </c>
      <c r="P9" s="14">
        <v>82677.75</v>
      </c>
      <c r="Q9" s="14">
        <v>82360.75</v>
      </c>
      <c r="R9" s="14">
        <f>84435.73+25936</f>
        <v>110371.73</v>
      </c>
      <c r="S9" s="14">
        <f>85845.2+13474.16</f>
        <v>99319.36</v>
      </c>
      <c r="T9" s="14">
        <f>175884.87-9-23998.41-12968</f>
        <v>138909.46</v>
      </c>
      <c r="U9" s="100"/>
      <c r="V9" s="15">
        <f>SUM(I9:T9)</f>
        <v>1046466.9999999999</v>
      </c>
    </row>
    <row r="10" spans="1:22" ht="89.25">
      <c r="A10" s="56" t="s">
        <v>87</v>
      </c>
      <c r="B10" s="48" t="s">
        <v>156</v>
      </c>
      <c r="C10" s="23" t="s">
        <v>8</v>
      </c>
      <c r="D10" s="23">
        <v>8010000190</v>
      </c>
      <c r="E10" s="23">
        <v>129</v>
      </c>
      <c r="F10" s="23">
        <v>213</v>
      </c>
      <c r="G10" s="23"/>
      <c r="H10" s="24">
        <v>316033</v>
      </c>
      <c r="I10" s="14">
        <v>0</v>
      </c>
      <c r="J10" s="14">
        <f>25059.08-145.08</f>
        <v>24914</v>
      </c>
      <c r="K10" s="14">
        <f>25059.07-145.07</f>
        <v>24914</v>
      </c>
      <c r="L10" s="14">
        <v>25059.07</v>
      </c>
      <c r="M10" s="14">
        <v>25059.07</v>
      </c>
      <c r="N10" s="14">
        <v>25059.07</v>
      </c>
      <c r="O10" s="14">
        <v>25059.07</v>
      </c>
      <c r="P10" s="14">
        <v>25059.07</v>
      </c>
      <c r="Q10" s="14">
        <v>25059.07</v>
      </c>
      <c r="R10" s="14">
        <f>25059.07+145.08</f>
        <v>25204.15</v>
      </c>
      <c r="S10" s="14">
        <f>26015.63+145.07</f>
        <v>26160.7</v>
      </c>
      <c r="T10" s="14">
        <v>64485.73</v>
      </c>
      <c r="U10" s="100"/>
      <c r="V10" s="15">
        <f>SUM(I10:T10)</f>
        <v>316033.00000000006</v>
      </c>
    </row>
    <row r="11" spans="1:22" ht="12.75">
      <c r="A11" s="56"/>
      <c r="B11" s="23"/>
      <c r="C11" s="23"/>
      <c r="D11" s="23"/>
      <c r="E11" s="23"/>
      <c r="F11" s="23"/>
      <c r="G11" s="23"/>
      <c r="H11" s="2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07"/>
      <c r="V11" s="15"/>
    </row>
    <row r="12" spans="1:22" ht="12.75">
      <c r="A12" s="56"/>
      <c r="B12" s="25" t="s">
        <v>45</v>
      </c>
      <c r="C12" s="25" t="s">
        <v>8</v>
      </c>
      <c r="D12" s="26"/>
      <c r="E12" s="26"/>
      <c r="F12" s="26"/>
      <c r="G12" s="25"/>
      <c r="H12" s="30">
        <f aca="true" t="shared" si="0" ref="H12:T12">H9+H10</f>
        <v>1362500</v>
      </c>
      <c r="I12" s="30">
        <f t="shared" si="0"/>
        <v>24021.100000000002</v>
      </c>
      <c r="J12" s="30">
        <f t="shared" si="0"/>
        <v>133300.1</v>
      </c>
      <c r="K12" s="30">
        <f t="shared" si="0"/>
        <v>94623.75</v>
      </c>
      <c r="L12" s="30">
        <f t="shared" si="0"/>
        <v>107736.82</v>
      </c>
      <c r="M12" s="30">
        <f t="shared" si="0"/>
        <v>107736.82</v>
      </c>
      <c r="N12" s="30">
        <f t="shared" si="0"/>
        <v>107736.82</v>
      </c>
      <c r="O12" s="30">
        <f t="shared" si="0"/>
        <v>107736.82</v>
      </c>
      <c r="P12" s="30">
        <f t="shared" si="0"/>
        <v>107736.82</v>
      </c>
      <c r="Q12" s="30">
        <f t="shared" si="0"/>
        <v>107419.82</v>
      </c>
      <c r="R12" s="30">
        <f t="shared" si="0"/>
        <v>135575.88</v>
      </c>
      <c r="S12" s="30">
        <f t="shared" si="0"/>
        <v>125480.06</v>
      </c>
      <c r="T12" s="30">
        <f t="shared" si="0"/>
        <v>203395.19</v>
      </c>
      <c r="U12" s="97"/>
      <c r="V12" s="97">
        <f>I12+J12+K12+L12+M12+N12+O12+P12+Q12+R12+S12+T12</f>
        <v>1362500</v>
      </c>
    </row>
    <row r="13" spans="1:22" ht="12.75">
      <c r="A13" s="56"/>
      <c r="B13" s="25"/>
      <c r="C13" s="11"/>
      <c r="D13" s="26"/>
      <c r="E13" s="26"/>
      <c r="F13" s="26"/>
      <c r="G13" s="25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97"/>
      <c r="V13" s="97"/>
    </row>
    <row r="14" spans="1:22" ht="93.75" customHeight="1">
      <c r="A14" s="62" t="s">
        <v>87</v>
      </c>
      <c r="B14" s="27" t="s">
        <v>104</v>
      </c>
      <c r="C14" s="37" t="s">
        <v>9</v>
      </c>
      <c r="D14" s="37">
        <v>5100000000</v>
      </c>
      <c r="E14" s="36"/>
      <c r="F14" s="36"/>
      <c r="G14" s="37"/>
      <c r="H14" s="13">
        <f aca="true" t="shared" si="1" ref="H14:T14">H15+H16+H17+H18+H19+H20+H21+H22+H24+H25+H23+H26+H27+H29+H28</f>
        <v>8225265</v>
      </c>
      <c r="I14" s="13">
        <f t="shared" si="1"/>
        <v>231843.25</v>
      </c>
      <c r="J14" s="13">
        <f t="shared" si="1"/>
        <v>667757.4</v>
      </c>
      <c r="K14" s="13">
        <f t="shared" si="1"/>
        <v>562823.8999999999</v>
      </c>
      <c r="L14" s="13">
        <f t="shared" si="1"/>
        <v>627343.39</v>
      </c>
      <c r="M14" s="13">
        <f t="shared" si="1"/>
        <v>577634.44</v>
      </c>
      <c r="N14" s="13">
        <f t="shared" si="1"/>
        <v>610701.21</v>
      </c>
      <c r="O14" s="13">
        <f t="shared" si="1"/>
        <v>735171.13</v>
      </c>
      <c r="P14" s="13">
        <f t="shared" si="1"/>
        <v>722916.8</v>
      </c>
      <c r="Q14" s="13">
        <f t="shared" si="1"/>
        <v>784896.5700000001</v>
      </c>
      <c r="R14" s="13">
        <f t="shared" si="1"/>
        <v>780210.69</v>
      </c>
      <c r="S14" s="13">
        <f t="shared" si="1"/>
        <v>940246.5599999999</v>
      </c>
      <c r="T14" s="13">
        <f t="shared" si="1"/>
        <v>983719.4900000001</v>
      </c>
      <c r="U14" s="101"/>
      <c r="V14" s="88">
        <f>V15+V16+V23+V26+V27+V29+V28</f>
        <v>8225264.83</v>
      </c>
    </row>
    <row r="15" spans="1:22" ht="38.25">
      <c r="A15" s="56" t="s">
        <v>87</v>
      </c>
      <c r="B15" s="48" t="s">
        <v>155</v>
      </c>
      <c r="C15" s="23" t="s">
        <v>9</v>
      </c>
      <c r="D15" s="78" t="s">
        <v>141</v>
      </c>
      <c r="E15" s="23">
        <v>121</v>
      </c>
      <c r="F15" s="23">
        <v>211</v>
      </c>
      <c r="G15" s="23"/>
      <c r="H15" s="24">
        <f>5057530+370015+96222</f>
        <v>5523767</v>
      </c>
      <c r="I15" s="14">
        <f>215261.98-44210.67</f>
        <v>171051.31</v>
      </c>
      <c r="J15" s="14">
        <f>367447.38+108736.84</f>
        <v>476184.22</v>
      </c>
      <c r="K15" s="14">
        <f>484620.17-143896.85</f>
        <v>340723.31999999995</v>
      </c>
      <c r="L15" s="14">
        <f>378618.34+10600</f>
        <v>389218.34</v>
      </c>
      <c r="M15" s="14">
        <f>394596.91+10600</f>
        <v>405196.91</v>
      </c>
      <c r="N15" s="14">
        <f>394596.91+10600</f>
        <v>405196.91</v>
      </c>
      <c r="O15" s="14">
        <f>412026+10600</f>
        <v>422626</v>
      </c>
      <c r="P15" s="14">
        <f>366080.88+44210.67+10600+822+143896.68</f>
        <v>565610.23</v>
      </c>
      <c r="Q15" s="14">
        <f>399894.85+170015+10600</f>
        <v>580509.85</v>
      </c>
      <c r="R15" s="14">
        <f>377800+22721.78+11550.82+25716.95+98437.44+10600</f>
        <v>546826.99</v>
      </c>
      <c r="S15" s="14">
        <f>391735.97+200000+10600</f>
        <v>602335.97</v>
      </c>
      <c r="T15" s="14">
        <f>716423.62-108736.84+10600</f>
        <v>618286.78</v>
      </c>
      <c r="U15" s="100"/>
      <c r="V15" s="15">
        <f aca="true" t="shared" si="2" ref="V15:V30">SUM(I15:T15)</f>
        <v>5523766.83</v>
      </c>
    </row>
    <row r="16" spans="1:22" ht="89.25">
      <c r="A16" s="56" t="s">
        <v>87</v>
      </c>
      <c r="B16" s="48" t="s">
        <v>156</v>
      </c>
      <c r="C16" s="23" t="s">
        <v>9</v>
      </c>
      <c r="D16" s="78" t="s">
        <v>141</v>
      </c>
      <c r="E16" s="23">
        <v>129</v>
      </c>
      <c r="F16" s="23">
        <v>213</v>
      </c>
      <c r="G16" s="23"/>
      <c r="H16" s="24">
        <f>1527370+111750+29058</f>
        <v>1668178</v>
      </c>
      <c r="I16" s="14">
        <v>0</v>
      </c>
      <c r="J16" s="14">
        <f>117942.63+9122.42</f>
        <v>127065.05</v>
      </c>
      <c r="K16" s="14">
        <f>100499.54+7460.33</f>
        <v>107959.87</v>
      </c>
      <c r="L16" s="14">
        <v>138908.05</v>
      </c>
      <c r="M16" s="14">
        <v>126393.53</v>
      </c>
      <c r="N16" s="14">
        <v>127635.3</v>
      </c>
      <c r="O16" s="14">
        <f>109894.13+111750</f>
        <v>221644.13</v>
      </c>
      <c r="P16" s="14">
        <v>116145.57</v>
      </c>
      <c r="Q16" s="14">
        <v>115389.66</v>
      </c>
      <c r="R16" s="14">
        <v>113948.7</v>
      </c>
      <c r="S16" s="14">
        <f>187572.49+29058</f>
        <v>216630.49</v>
      </c>
      <c r="T16" s="14">
        <f>273040.4-9122.42-7460.33</f>
        <v>256457.65000000005</v>
      </c>
      <c r="U16" s="100"/>
      <c r="V16" s="15">
        <f t="shared" si="2"/>
        <v>1668178</v>
      </c>
    </row>
    <row r="17" spans="1:22" ht="12.75" hidden="1">
      <c r="A17" s="56" t="s">
        <v>87</v>
      </c>
      <c r="B17" s="23" t="s">
        <v>10</v>
      </c>
      <c r="C17" s="28" t="s">
        <v>9</v>
      </c>
      <c r="D17" s="28">
        <v>5110100190</v>
      </c>
      <c r="E17" s="28">
        <v>244</v>
      </c>
      <c r="F17" s="28">
        <v>221</v>
      </c>
      <c r="G17" s="23"/>
      <c r="H17" s="2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00"/>
      <c r="V17" s="15">
        <f t="shared" si="2"/>
        <v>0</v>
      </c>
    </row>
    <row r="18" spans="1:22" ht="12.75" hidden="1">
      <c r="A18" s="56" t="s">
        <v>87</v>
      </c>
      <c r="B18" s="23" t="s">
        <v>11</v>
      </c>
      <c r="C18" s="28" t="s">
        <v>9</v>
      </c>
      <c r="D18" s="28">
        <v>5110100190</v>
      </c>
      <c r="E18" s="28">
        <v>244</v>
      </c>
      <c r="F18" s="28">
        <v>223</v>
      </c>
      <c r="G18" s="23" t="s">
        <v>38</v>
      </c>
      <c r="H18" s="2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00"/>
      <c r="V18" s="15">
        <f t="shared" si="2"/>
        <v>0</v>
      </c>
    </row>
    <row r="19" spans="1:22" ht="12.75" hidden="1">
      <c r="A19" s="56" t="s">
        <v>87</v>
      </c>
      <c r="B19" s="23" t="s">
        <v>11</v>
      </c>
      <c r="C19" s="28" t="s">
        <v>9</v>
      </c>
      <c r="D19" s="28">
        <v>5110100190</v>
      </c>
      <c r="E19" s="28">
        <v>244</v>
      </c>
      <c r="F19" s="28">
        <v>223</v>
      </c>
      <c r="G19" s="59" t="s">
        <v>39</v>
      </c>
      <c r="H19" s="2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00"/>
      <c r="V19" s="15">
        <f t="shared" si="2"/>
        <v>0</v>
      </c>
    </row>
    <row r="20" spans="1:22" ht="12.75" hidden="1">
      <c r="A20" s="56" t="s">
        <v>87</v>
      </c>
      <c r="B20" s="23" t="s">
        <v>11</v>
      </c>
      <c r="C20" s="28" t="s">
        <v>9</v>
      </c>
      <c r="D20" s="28">
        <v>5110100190</v>
      </c>
      <c r="E20" s="28">
        <v>244</v>
      </c>
      <c r="F20" s="28">
        <v>223</v>
      </c>
      <c r="G20" s="23" t="s">
        <v>40</v>
      </c>
      <c r="H20" s="2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00"/>
      <c r="V20" s="15">
        <f t="shared" si="2"/>
        <v>0</v>
      </c>
    </row>
    <row r="21" spans="1:22" ht="12.75" hidden="1">
      <c r="A21" s="56" t="s">
        <v>87</v>
      </c>
      <c r="B21" s="23" t="s">
        <v>12</v>
      </c>
      <c r="C21" s="28" t="s">
        <v>9</v>
      </c>
      <c r="D21" s="28">
        <v>5110100190</v>
      </c>
      <c r="E21" s="28">
        <v>244</v>
      </c>
      <c r="F21" s="28">
        <v>225</v>
      </c>
      <c r="G21" s="23"/>
      <c r="H21" s="2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00"/>
      <c r="V21" s="15">
        <f t="shared" si="2"/>
        <v>0</v>
      </c>
    </row>
    <row r="22" spans="1:22" ht="12.75" hidden="1">
      <c r="A22" s="56" t="s">
        <v>87</v>
      </c>
      <c r="B22" s="23" t="s">
        <v>14</v>
      </c>
      <c r="C22" s="28" t="s">
        <v>9</v>
      </c>
      <c r="D22" s="28">
        <v>5110100190</v>
      </c>
      <c r="E22" s="28">
        <v>851</v>
      </c>
      <c r="F22" s="28">
        <v>290</v>
      </c>
      <c r="G22" s="23" t="s">
        <v>50</v>
      </c>
      <c r="H22" s="2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00"/>
      <c r="V22" s="15">
        <f t="shared" si="2"/>
        <v>0</v>
      </c>
    </row>
    <row r="23" spans="1:22" ht="25.5">
      <c r="A23" s="56" t="s">
        <v>87</v>
      </c>
      <c r="B23" s="48" t="s">
        <v>157</v>
      </c>
      <c r="C23" s="23" t="s">
        <v>9</v>
      </c>
      <c r="D23" s="78" t="s">
        <v>141</v>
      </c>
      <c r="E23" s="23">
        <v>244</v>
      </c>
      <c r="F23" s="23">
        <v>226</v>
      </c>
      <c r="G23" s="23"/>
      <c r="H23" s="24">
        <f>793800+72800-44200-125280</f>
        <v>697120</v>
      </c>
      <c r="I23" s="14">
        <v>29305.94</v>
      </c>
      <c r="J23" s="14">
        <v>0</v>
      </c>
      <c r="K23" s="14">
        <f>34437+52283.71</f>
        <v>86720.70999999999</v>
      </c>
      <c r="L23" s="14">
        <v>75437</v>
      </c>
      <c r="M23" s="14">
        <v>34437</v>
      </c>
      <c r="N23" s="14">
        <v>54089</v>
      </c>
      <c r="O23" s="14">
        <v>67121</v>
      </c>
      <c r="P23" s="14">
        <v>34437</v>
      </c>
      <c r="Q23" s="14">
        <f>34437+43494.06</f>
        <v>77931.06</v>
      </c>
      <c r="R23" s="14">
        <v>78599</v>
      </c>
      <c r="S23" s="14">
        <f>67280+41892</f>
        <v>109172</v>
      </c>
      <c r="T23" s="14">
        <f>271634-44200-125280-52283.71</f>
        <v>49870.29</v>
      </c>
      <c r="U23" s="100"/>
      <c r="V23" s="15">
        <f t="shared" si="2"/>
        <v>697120</v>
      </c>
    </row>
    <row r="24" spans="1:22" ht="12.75" hidden="1">
      <c r="A24" s="56" t="s">
        <v>87</v>
      </c>
      <c r="B24" s="23" t="s">
        <v>15</v>
      </c>
      <c r="C24" s="28" t="s">
        <v>9</v>
      </c>
      <c r="D24" s="78" t="s">
        <v>141</v>
      </c>
      <c r="E24" s="28">
        <v>244</v>
      </c>
      <c r="F24" s="28">
        <v>340</v>
      </c>
      <c r="G24" s="23"/>
      <c r="H24" s="2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00"/>
      <c r="V24" s="15">
        <f t="shared" si="2"/>
        <v>0</v>
      </c>
    </row>
    <row r="25" spans="1:22" ht="12.75" hidden="1">
      <c r="A25" s="56" t="s">
        <v>87</v>
      </c>
      <c r="B25" s="23" t="s">
        <v>15</v>
      </c>
      <c r="C25" s="28" t="s">
        <v>9</v>
      </c>
      <c r="D25" s="28">
        <v>5110100190</v>
      </c>
      <c r="E25" s="28">
        <v>244</v>
      </c>
      <c r="F25" s="28">
        <v>340</v>
      </c>
      <c r="G25" s="23" t="s">
        <v>41</v>
      </c>
      <c r="H25" s="2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00"/>
      <c r="V25" s="15">
        <f t="shared" si="2"/>
        <v>0</v>
      </c>
    </row>
    <row r="26" spans="1:22" ht="43.5" customHeight="1">
      <c r="A26" s="56" t="s">
        <v>87</v>
      </c>
      <c r="B26" s="48" t="s">
        <v>158</v>
      </c>
      <c r="C26" s="23" t="s">
        <v>9</v>
      </c>
      <c r="D26" s="78" t="s">
        <v>141</v>
      </c>
      <c r="E26" s="23">
        <v>244</v>
      </c>
      <c r="F26" s="23">
        <v>340</v>
      </c>
      <c r="G26" s="48" t="s">
        <v>79</v>
      </c>
      <c r="H26" s="24">
        <f>241500+5400</f>
        <v>246900</v>
      </c>
      <c r="I26" s="14">
        <f>15018.61+0.39</f>
        <v>15019</v>
      </c>
      <c r="J26" s="14">
        <f>23780-3441.1</f>
        <v>20338.9</v>
      </c>
      <c r="K26" s="14">
        <f>23780+3640</f>
        <v>27420</v>
      </c>
      <c r="L26" s="14">
        <v>23780</v>
      </c>
      <c r="M26" s="14">
        <f>23780-12173</f>
        <v>11607</v>
      </c>
      <c r="N26" s="14">
        <v>23780</v>
      </c>
      <c r="O26" s="14">
        <v>23780</v>
      </c>
      <c r="P26" s="14">
        <f>23780-17056.8+0.8</f>
        <v>6724.000000000001</v>
      </c>
      <c r="Q26" s="14">
        <f>23780-12713.95-0.05</f>
        <v>11066</v>
      </c>
      <c r="R26" s="14">
        <f>23780+17056.8-0.8</f>
        <v>40836</v>
      </c>
      <c r="S26" s="14">
        <f>23780+12173+12713.95-40000+0.05+3441.1</f>
        <v>12108.099999999997</v>
      </c>
      <c r="T26" s="14">
        <f>30441.39-0.39</f>
        <v>30441</v>
      </c>
      <c r="U26" s="100"/>
      <c r="V26" s="15">
        <f t="shared" si="2"/>
        <v>246900</v>
      </c>
    </row>
    <row r="27" spans="1:22" ht="30" customHeight="1">
      <c r="A27" s="56" t="s">
        <v>87</v>
      </c>
      <c r="B27" s="48" t="s">
        <v>159</v>
      </c>
      <c r="C27" s="23" t="s">
        <v>9</v>
      </c>
      <c r="D27" s="78" t="s">
        <v>141</v>
      </c>
      <c r="E27" s="23">
        <v>851</v>
      </c>
      <c r="F27" s="23">
        <v>290</v>
      </c>
      <c r="G27" s="48" t="s">
        <v>50</v>
      </c>
      <c r="H27" s="24">
        <v>1000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1000</v>
      </c>
      <c r="U27" s="100"/>
      <c r="V27" s="15">
        <f t="shared" si="2"/>
        <v>1000</v>
      </c>
    </row>
    <row r="28" spans="1:22" ht="18" customHeight="1">
      <c r="A28" s="56" t="s">
        <v>87</v>
      </c>
      <c r="B28" s="48" t="s">
        <v>197</v>
      </c>
      <c r="C28" s="23" t="s">
        <v>9</v>
      </c>
      <c r="D28" s="78" t="s">
        <v>141</v>
      </c>
      <c r="E28" s="23">
        <v>852</v>
      </c>
      <c r="F28" s="23">
        <v>290</v>
      </c>
      <c r="G28" s="48" t="s">
        <v>50</v>
      </c>
      <c r="H28" s="24">
        <f>24400+44200</f>
        <v>68600</v>
      </c>
      <c r="I28" s="14">
        <v>711</v>
      </c>
      <c r="J28" s="14">
        <f>24400-711+20471</f>
        <v>44160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23729</v>
      </c>
      <c r="U28" s="100"/>
      <c r="V28" s="15">
        <f t="shared" si="2"/>
        <v>68600</v>
      </c>
    </row>
    <row r="29" spans="1:22" ht="23.25" customHeight="1">
      <c r="A29" s="56" t="s">
        <v>87</v>
      </c>
      <c r="B29" s="48" t="s">
        <v>160</v>
      </c>
      <c r="C29" s="23" t="s">
        <v>9</v>
      </c>
      <c r="D29" s="78" t="s">
        <v>141</v>
      </c>
      <c r="E29" s="23">
        <v>853</v>
      </c>
      <c r="F29" s="23">
        <v>290</v>
      </c>
      <c r="G29" s="48" t="s">
        <v>50</v>
      </c>
      <c r="H29" s="24">
        <v>19700</v>
      </c>
      <c r="I29" s="14">
        <v>15756</v>
      </c>
      <c r="J29" s="14">
        <v>9.23</v>
      </c>
      <c r="K29" s="14">
        <v>0</v>
      </c>
      <c r="L29" s="29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f>4700-756-9.23</f>
        <v>3934.77</v>
      </c>
      <c r="U29" s="100"/>
      <c r="V29" s="15">
        <f t="shared" si="2"/>
        <v>19700</v>
      </c>
    </row>
    <row r="30" spans="1:22" ht="54.75" customHeight="1">
      <c r="A30" s="62" t="s">
        <v>87</v>
      </c>
      <c r="B30" s="90" t="s">
        <v>161</v>
      </c>
      <c r="C30" s="37" t="s">
        <v>9</v>
      </c>
      <c r="D30" s="84" t="s">
        <v>150</v>
      </c>
      <c r="E30" s="37">
        <v>244</v>
      </c>
      <c r="F30" s="37">
        <v>340</v>
      </c>
      <c r="G30" s="37"/>
      <c r="H30" s="13">
        <v>7600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7600</v>
      </c>
      <c r="R30" s="13">
        <v>0</v>
      </c>
      <c r="S30" s="13">
        <v>0</v>
      </c>
      <c r="T30" s="13">
        <v>0</v>
      </c>
      <c r="U30" s="101"/>
      <c r="V30" s="87">
        <f t="shared" si="2"/>
        <v>7600</v>
      </c>
    </row>
    <row r="31" spans="1:22" ht="12.75" hidden="1">
      <c r="A31" s="56"/>
      <c r="B31" s="11"/>
      <c r="C31" s="23"/>
      <c r="D31" s="78"/>
      <c r="E31" s="23"/>
      <c r="F31" s="23"/>
      <c r="G31" s="2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07"/>
      <c r="V31" s="77"/>
    </row>
    <row r="32" spans="1:22" s="114" customFormat="1" ht="12.75" hidden="1">
      <c r="A32" s="62" t="s">
        <v>87</v>
      </c>
      <c r="B32" s="122" t="s">
        <v>206</v>
      </c>
      <c r="C32" s="36" t="s">
        <v>9</v>
      </c>
      <c r="D32" s="118" t="s">
        <v>199</v>
      </c>
      <c r="E32" s="36">
        <v>853</v>
      </c>
      <c r="F32" s="36">
        <v>290</v>
      </c>
      <c r="G32" s="36"/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20"/>
      <c r="V32" s="121">
        <f>SUM(I32:T32)</f>
        <v>0</v>
      </c>
    </row>
    <row r="33" spans="1:22" ht="12.75">
      <c r="A33" s="56"/>
      <c r="B33" s="11"/>
      <c r="C33" s="23"/>
      <c r="D33" s="78"/>
      <c r="E33" s="23"/>
      <c r="F33" s="23"/>
      <c r="G33" s="2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07"/>
      <c r="V33" s="106"/>
    </row>
    <row r="34" spans="1:22" ht="12.75">
      <c r="A34" s="56"/>
      <c r="B34" s="25" t="s">
        <v>45</v>
      </c>
      <c r="C34" s="25" t="s">
        <v>9</v>
      </c>
      <c r="D34" s="23"/>
      <c r="E34" s="23"/>
      <c r="F34" s="23"/>
      <c r="G34" s="23"/>
      <c r="H34" s="30">
        <f aca="true" t="shared" si="3" ref="H34:T34">H14+H30+H32</f>
        <v>8232865</v>
      </c>
      <c r="I34" s="30">
        <f t="shared" si="3"/>
        <v>231843.25</v>
      </c>
      <c r="J34" s="30">
        <f t="shared" si="3"/>
        <v>667757.4</v>
      </c>
      <c r="K34" s="30">
        <f t="shared" si="3"/>
        <v>562823.8999999999</v>
      </c>
      <c r="L34" s="30">
        <f t="shared" si="3"/>
        <v>627343.39</v>
      </c>
      <c r="M34" s="30">
        <f t="shared" si="3"/>
        <v>577634.44</v>
      </c>
      <c r="N34" s="30">
        <f t="shared" si="3"/>
        <v>610701.21</v>
      </c>
      <c r="O34" s="30">
        <f t="shared" si="3"/>
        <v>735171.13</v>
      </c>
      <c r="P34" s="30">
        <f t="shared" si="3"/>
        <v>722916.8</v>
      </c>
      <c r="Q34" s="30">
        <f t="shared" si="3"/>
        <v>792496.5700000001</v>
      </c>
      <c r="R34" s="30">
        <f t="shared" si="3"/>
        <v>780210.69</v>
      </c>
      <c r="S34" s="30">
        <f t="shared" si="3"/>
        <v>940246.5599999999</v>
      </c>
      <c r="T34" s="30">
        <f t="shared" si="3"/>
        <v>983719.4900000001</v>
      </c>
      <c r="U34" s="97"/>
      <c r="V34" s="97">
        <f>V14+V30+V32</f>
        <v>8232864.83</v>
      </c>
    </row>
    <row r="35" spans="1:22" ht="12.75">
      <c r="A35" s="56"/>
      <c r="B35" s="25"/>
      <c r="C35" s="26"/>
      <c r="D35" s="28"/>
      <c r="E35" s="28"/>
      <c r="F35" s="28"/>
      <c r="G35" s="2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102"/>
      <c r="V35" s="15"/>
    </row>
    <row r="36" spans="1:23" s="7" customFormat="1" ht="76.5">
      <c r="A36" s="62" t="s">
        <v>87</v>
      </c>
      <c r="B36" s="90" t="s">
        <v>162</v>
      </c>
      <c r="C36" s="37" t="s">
        <v>46</v>
      </c>
      <c r="D36" s="84" t="s">
        <v>151</v>
      </c>
      <c r="E36" s="37">
        <v>540</v>
      </c>
      <c r="F36" s="37">
        <v>251</v>
      </c>
      <c r="G36" s="11" t="s">
        <v>47</v>
      </c>
      <c r="H36" s="13">
        <v>183700</v>
      </c>
      <c r="I36" s="13">
        <f>78750+13250</f>
        <v>92000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f>104950-13250</f>
        <v>91700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01"/>
      <c r="V36" s="77">
        <f>SUM(I36:T36)</f>
        <v>183700</v>
      </c>
      <c r="W36" s="85"/>
    </row>
    <row r="37" spans="1:23" s="7" customFormat="1" ht="84" customHeight="1">
      <c r="A37" s="62" t="s">
        <v>87</v>
      </c>
      <c r="B37" s="90" t="s">
        <v>163</v>
      </c>
      <c r="C37" s="37" t="s">
        <v>46</v>
      </c>
      <c r="D37" s="84" t="s">
        <v>152</v>
      </c>
      <c r="E37" s="37">
        <v>540</v>
      </c>
      <c r="F37" s="37">
        <v>251</v>
      </c>
      <c r="G37" s="11" t="s">
        <v>47</v>
      </c>
      <c r="H37" s="13">
        <v>170900</v>
      </c>
      <c r="I37" s="13">
        <v>0</v>
      </c>
      <c r="J37" s="112">
        <f>71575+14425</f>
        <v>86000</v>
      </c>
      <c r="K37" s="13">
        <v>0</v>
      </c>
      <c r="L37" s="13">
        <v>13075</v>
      </c>
      <c r="M37" s="13">
        <v>0</v>
      </c>
      <c r="N37" s="13">
        <v>0</v>
      </c>
      <c r="O37" s="13">
        <f>82875-14425</f>
        <v>68450</v>
      </c>
      <c r="P37" s="13">
        <v>0</v>
      </c>
      <c r="Q37" s="13">
        <v>0</v>
      </c>
      <c r="R37" s="13">
        <v>3375</v>
      </c>
      <c r="S37" s="13">
        <v>0</v>
      </c>
      <c r="T37" s="13">
        <v>0</v>
      </c>
      <c r="U37" s="101"/>
      <c r="V37" s="77">
        <f>SUM(I37:T37)</f>
        <v>170900</v>
      </c>
      <c r="W37" s="85"/>
    </row>
    <row r="38" spans="1:23" s="7" customFormat="1" ht="12.75">
      <c r="A38" s="65"/>
      <c r="B38" s="89"/>
      <c r="C38" s="11"/>
      <c r="D38" s="79"/>
      <c r="E38" s="11"/>
      <c r="F38" s="11"/>
      <c r="G38" s="11"/>
      <c r="H38" s="34"/>
      <c r="I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101"/>
      <c r="V38" s="77"/>
      <c r="W38" s="85"/>
    </row>
    <row r="39" spans="1:23" ht="12.75">
      <c r="A39" s="56"/>
      <c r="B39" s="25" t="s">
        <v>45</v>
      </c>
      <c r="C39" s="25" t="s">
        <v>46</v>
      </c>
      <c r="D39" s="23"/>
      <c r="E39" s="23"/>
      <c r="F39" s="23"/>
      <c r="G39" s="23"/>
      <c r="H39" s="30">
        <f aca="true" t="shared" si="4" ref="H39:T39">H37+H36</f>
        <v>354600</v>
      </c>
      <c r="I39" s="30">
        <f t="shared" si="4"/>
        <v>92000</v>
      </c>
      <c r="J39" s="30">
        <f t="shared" si="4"/>
        <v>86000</v>
      </c>
      <c r="K39" s="30">
        <f t="shared" si="4"/>
        <v>0</v>
      </c>
      <c r="L39" s="30">
        <f t="shared" si="4"/>
        <v>13075</v>
      </c>
      <c r="M39" s="30">
        <f t="shared" si="4"/>
        <v>0</v>
      </c>
      <c r="N39" s="30">
        <f t="shared" si="4"/>
        <v>0</v>
      </c>
      <c r="O39" s="30">
        <f t="shared" si="4"/>
        <v>160150</v>
      </c>
      <c r="P39" s="30">
        <f t="shared" si="4"/>
        <v>0</v>
      </c>
      <c r="Q39" s="30">
        <f t="shared" si="4"/>
        <v>0</v>
      </c>
      <c r="R39" s="30">
        <f t="shared" si="4"/>
        <v>3375</v>
      </c>
      <c r="S39" s="30">
        <f t="shared" si="4"/>
        <v>0</v>
      </c>
      <c r="T39" s="30">
        <f t="shared" si="4"/>
        <v>0</v>
      </c>
      <c r="U39" s="102"/>
      <c r="V39" s="86">
        <f>SUM(I39:T39)</f>
        <v>354600</v>
      </c>
      <c r="W39" s="3"/>
    </row>
    <row r="40" spans="1:23" ht="12.75">
      <c r="A40" s="56"/>
      <c r="B40" s="25"/>
      <c r="C40" s="25"/>
      <c r="D40" s="23"/>
      <c r="E40" s="23"/>
      <c r="F40" s="23"/>
      <c r="G40" s="2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102"/>
      <c r="V40" s="32"/>
      <c r="W40" s="3"/>
    </row>
    <row r="41" spans="1:23" s="7" customFormat="1" ht="29.25" customHeight="1">
      <c r="A41" s="62" t="s">
        <v>87</v>
      </c>
      <c r="B41" s="90" t="s">
        <v>164</v>
      </c>
      <c r="C41" s="37" t="s">
        <v>48</v>
      </c>
      <c r="D41" s="84" t="s">
        <v>153</v>
      </c>
      <c r="E41" s="37">
        <v>870</v>
      </c>
      <c r="F41" s="37">
        <v>290</v>
      </c>
      <c r="G41" s="11"/>
      <c r="H41" s="13">
        <v>20000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20000</v>
      </c>
      <c r="U41" s="101"/>
      <c r="V41" s="77">
        <f>SUM(I41:T41)</f>
        <v>20000</v>
      </c>
      <c r="W41" s="85"/>
    </row>
    <row r="42" spans="1:22" s="7" customFormat="1" ht="12.75">
      <c r="A42" s="65"/>
      <c r="B42" s="11"/>
      <c r="C42" s="11"/>
      <c r="D42" s="80"/>
      <c r="E42" s="11"/>
      <c r="F42" s="11"/>
      <c r="G42" s="1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101"/>
      <c r="V42" s="77"/>
    </row>
    <row r="43" spans="1:22" ht="12.75">
      <c r="A43" s="56"/>
      <c r="B43" s="25" t="s">
        <v>45</v>
      </c>
      <c r="C43" s="25" t="s">
        <v>17</v>
      </c>
      <c r="D43" s="11"/>
      <c r="E43" s="11"/>
      <c r="F43" s="11"/>
      <c r="G43" s="25"/>
      <c r="H43" s="30">
        <f aca="true" t="shared" si="5" ref="H43:T43">H41</f>
        <v>20000</v>
      </c>
      <c r="I43" s="30">
        <f t="shared" si="5"/>
        <v>0</v>
      </c>
      <c r="J43" s="30">
        <f t="shared" si="5"/>
        <v>0</v>
      </c>
      <c r="K43" s="30">
        <f t="shared" si="5"/>
        <v>0</v>
      </c>
      <c r="L43" s="30">
        <f t="shared" si="5"/>
        <v>0</v>
      </c>
      <c r="M43" s="30">
        <f t="shared" si="5"/>
        <v>0</v>
      </c>
      <c r="N43" s="30">
        <f t="shared" si="5"/>
        <v>0</v>
      </c>
      <c r="O43" s="30">
        <f t="shared" si="5"/>
        <v>0</v>
      </c>
      <c r="P43" s="30">
        <f t="shared" si="5"/>
        <v>0</v>
      </c>
      <c r="Q43" s="30">
        <f t="shared" si="5"/>
        <v>0</v>
      </c>
      <c r="R43" s="30">
        <f t="shared" si="5"/>
        <v>0</v>
      </c>
      <c r="S43" s="30">
        <f t="shared" si="5"/>
        <v>0</v>
      </c>
      <c r="T43" s="30">
        <f t="shared" si="5"/>
        <v>20000</v>
      </c>
      <c r="U43" s="102"/>
      <c r="V43" s="47">
        <f>SUM(I43:T43)</f>
        <v>20000</v>
      </c>
    </row>
    <row r="44" spans="1:22" s="3" customFormat="1" ht="12.75">
      <c r="A44" s="60"/>
      <c r="B44" s="61"/>
      <c r="C44" s="31"/>
      <c r="D44" s="31"/>
      <c r="E44" s="31"/>
      <c r="F44" s="31"/>
      <c r="G44" s="6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102"/>
      <c r="V44" s="32"/>
    </row>
    <row r="45" spans="1:22" ht="12.75">
      <c r="A45" s="56"/>
      <c r="B45" s="25"/>
      <c r="C45" s="11"/>
      <c r="D45" s="11"/>
      <c r="E45" s="11"/>
      <c r="F45" s="11"/>
      <c r="G45" s="25"/>
      <c r="H45" s="33"/>
      <c r="I45" s="30"/>
      <c r="J45" s="30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101"/>
      <c r="V45" s="15"/>
    </row>
    <row r="46" spans="1:22" ht="76.5">
      <c r="A46" s="62" t="s">
        <v>87</v>
      </c>
      <c r="B46" s="90" t="s">
        <v>105</v>
      </c>
      <c r="C46" s="37" t="s">
        <v>6</v>
      </c>
      <c r="D46" s="84" t="s">
        <v>140</v>
      </c>
      <c r="E46" s="36"/>
      <c r="F46" s="36"/>
      <c r="G46" s="41"/>
      <c r="H46" s="13">
        <f aca="true" t="shared" si="6" ref="H46:T46">H48+H54+H66</f>
        <v>14423554</v>
      </c>
      <c r="I46" s="13">
        <f t="shared" si="6"/>
        <v>664714.3</v>
      </c>
      <c r="J46" s="13">
        <f t="shared" si="6"/>
        <v>1327176.7899999998</v>
      </c>
      <c r="K46" s="13">
        <f t="shared" si="6"/>
        <v>869266.7</v>
      </c>
      <c r="L46" s="13">
        <f t="shared" si="6"/>
        <v>1247930.0299999998</v>
      </c>
      <c r="M46" s="13">
        <f t="shared" si="6"/>
        <v>1098486.37</v>
      </c>
      <c r="N46" s="13">
        <f t="shared" si="6"/>
        <v>1212602.49</v>
      </c>
      <c r="O46" s="13">
        <f t="shared" si="6"/>
        <v>1176472.56</v>
      </c>
      <c r="P46" s="13">
        <f t="shared" si="6"/>
        <v>1196680.77</v>
      </c>
      <c r="Q46" s="13">
        <f t="shared" si="6"/>
        <v>1261658.33</v>
      </c>
      <c r="R46" s="13">
        <f t="shared" si="6"/>
        <v>1291014.15</v>
      </c>
      <c r="S46" s="13">
        <f t="shared" si="6"/>
        <v>1325430.2500000002</v>
      </c>
      <c r="T46" s="13">
        <f t="shared" si="6"/>
        <v>1752121.2600000002</v>
      </c>
      <c r="U46" s="101"/>
      <c r="V46" s="87">
        <f>V48+V54+V66</f>
        <v>14423554</v>
      </c>
    </row>
    <row r="47" spans="1:22" ht="12.75">
      <c r="A47" s="60"/>
      <c r="B47" s="67"/>
      <c r="C47" s="12"/>
      <c r="D47" s="12"/>
      <c r="E47" s="12"/>
      <c r="F47" s="12"/>
      <c r="G47" s="1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00"/>
      <c r="V47" s="15"/>
    </row>
    <row r="48" spans="1:22" s="7" customFormat="1" ht="25.5">
      <c r="A48" s="62" t="s">
        <v>87</v>
      </c>
      <c r="B48" s="90" t="s">
        <v>49</v>
      </c>
      <c r="C48" s="37" t="s">
        <v>6</v>
      </c>
      <c r="D48" s="37">
        <v>5210000000</v>
      </c>
      <c r="E48" s="36"/>
      <c r="F48" s="36"/>
      <c r="G48" s="37"/>
      <c r="H48" s="13">
        <f aca="true" t="shared" si="7" ref="H48:T48">H49+H50+H51+H52</f>
        <v>4363554</v>
      </c>
      <c r="I48" s="13">
        <f t="shared" si="7"/>
        <v>330702.5</v>
      </c>
      <c r="J48" s="13">
        <f t="shared" si="7"/>
        <v>549076.86</v>
      </c>
      <c r="K48" s="13">
        <f t="shared" si="7"/>
        <v>263466.70999999996</v>
      </c>
      <c r="L48" s="13">
        <f t="shared" si="7"/>
        <v>446944</v>
      </c>
      <c r="M48" s="13">
        <f t="shared" si="7"/>
        <v>315341</v>
      </c>
      <c r="N48" s="13">
        <f t="shared" si="7"/>
        <v>324081</v>
      </c>
      <c r="O48" s="13">
        <f t="shared" si="7"/>
        <v>332213.54000000004</v>
      </c>
      <c r="P48" s="13">
        <f t="shared" si="7"/>
        <v>358840</v>
      </c>
      <c r="Q48" s="13">
        <f t="shared" si="7"/>
        <v>412380.25</v>
      </c>
      <c r="R48" s="13">
        <f t="shared" si="7"/>
        <v>393081.54</v>
      </c>
      <c r="S48" s="13">
        <f t="shared" si="7"/>
        <v>290222</v>
      </c>
      <c r="T48" s="13">
        <f t="shared" si="7"/>
        <v>347204.6</v>
      </c>
      <c r="U48" s="101"/>
      <c r="V48" s="87">
        <f>V49+V50+V51+V52</f>
        <v>4363554</v>
      </c>
    </row>
    <row r="49" spans="1:22" ht="25.5">
      <c r="A49" s="56" t="s">
        <v>87</v>
      </c>
      <c r="B49" s="109" t="s">
        <v>165</v>
      </c>
      <c r="C49" s="23" t="s">
        <v>6</v>
      </c>
      <c r="D49" s="23">
        <v>5210100590</v>
      </c>
      <c r="E49" s="23">
        <v>111</v>
      </c>
      <c r="F49" s="23">
        <v>211</v>
      </c>
      <c r="G49" s="23"/>
      <c r="H49" s="24">
        <f>2825577+116785</f>
        <v>2942362</v>
      </c>
      <c r="I49" s="14">
        <f>101400+117670.5</f>
        <v>219070.5</v>
      </c>
      <c r="J49" s="14">
        <f>218095+31012.46</f>
        <v>249107.46</v>
      </c>
      <c r="K49" s="14">
        <f>246332-64390.54</f>
        <v>181941.46</v>
      </c>
      <c r="L49" s="14">
        <v>287704</v>
      </c>
      <c r="M49" s="14">
        <v>221360</v>
      </c>
      <c r="N49" s="14">
        <v>248778</v>
      </c>
      <c r="O49" s="14">
        <f>187019+64390.54</f>
        <v>251409.54</v>
      </c>
      <c r="P49" s="14">
        <v>269483</v>
      </c>
      <c r="Q49" s="14">
        <f>178393+116785</f>
        <v>295178</v>
      </c>
      <c r="R49" s="14">
        <f>326954-31012.46</f>
        <v>295941.54</v>
      </c>
      <c r="S49" s="14">
        <v>204011</v>
      </c>
      <c r="T49" s="14">
        <f>336048-117670.5</f>
        <v>218377.5</v>
      </c>
      <c r="U49" s="100"/>
      <c r="V49" s="15">
        <f>SUM(I49:T49)</f>
        <v>2942362</v>
      </c>
    </row>
    <row r="50" spans="1:22" ht="89.25">
      <c r="A50" s="56" t="s">
        <v>87</v>
      </c>
      <c r="B50" s="109" t="s">
        <v>166</v>
      </c>
      <c r="C50" s="23" t="s">
        <v>6</v>
      </c>
      <c r="D50" s="23">
        <v>5210100590</v>
      </c>
      <c r="E50" s="23">
        <v>119</v>
      </c>
      <c r="F50" s="10">
        <v>213</v>
      </c>
      <c r="G50" s="23"/>
      <c r="H50" s="24">
        <f>853323+35269-12304.5+24594.5</f>
        <v>900882</v>
      </c>
      <c r="I50" s="14">
        <v>0</v>
      </c>
      <c r="J50" s="14">
        <f>65272+35424.9</f>
        <v>100696.9</v>
      </c>
      <c r="K50" s="14">
        <f>64970+55.25</f>
        <v>65025.25</v>
      </c>
      <c r="L50" s="14">
        <v>70940</v>
      </c>
      <c r="M50" s="14">
        <v>84381</v>
      </c>
      <c r="N50" s="14">
        <v>65703</v>
      </c>
      <c r="O50" s="14">
        <v>72604</v>
      </c>
      <c r="P50" s="14">
        <v>70157</v>
      </c>
      <c r="Q50" s="14">
        <f>71663+24594.5-55.25</f>
        <v>96202.25</v>
      </c>
      <c r="R50" s="14">
        <f>61871+35269</f>
        <v>97140</v>
      </c>
      <c r="S50" s="14">
        <v>86211</v>
      </c>
      <c r="T50" s="14">
        <f>139551-12304.5-35424.9</f>
        <v>91821.6</v>
      </c>
      <c r="U50" s="100"/>
      <c r="V50" s="15">
        <f>SUM(I50:T50)</f>
        <v>900882</v>
      </c>
    </row>
    <row r="51" spans="1:22" ht="25.5">
      <c r="A51" s="56" t="s">
        <v>87</v>
      </c>
      <c r="B51" s="48" t="s">
        <v>157</v>
      </c>
      <c r="C51" s="23" t="s">
        <v>6</v>
      </c>
      <c r="D51" s="23">
        <v>5210100590</v>
      </c>
      <c r="E51" s="23">
        <v>244</v>
      </c>
      <c r="F51" s="23">
        <v>226</v>
      </c>
      <c r="G51" s="23"/>
      <c r="H51" s="24">
        <f>403300+8300+12304.5+40405.5</f>
        <v>464310</v>
      </c>
      <c r="I51" s="14">
        <f>9600+10992+91040</f>
        <v>111632</v>
      </c>
      <c r="J51" s="14">
        <f>9600+21900-10992-10908+8300+52990+27368+21904.5+24110+44600</f>
        <v>188872.5</v>
      </c>
      <c r="K51" s="14">
        <f>9600+3500+3400</f>
        <v>16500</v>
      </c>
      <c r="L51" s="14">
        <v>73300</v>
      </c>
      <c r="M51" s="14">
        <v>9600</v>
      </c>
      <c r="N51" s="14">
        <v>9600</v>
      </c>
      <c r="O51" s="14">
        <f>52800-44600</f>
        <v>8200</v>
      </c>
      <c r="P51" s="14">
        <v>9600</v>
      </c>
      <c r="Q51" s="14">
        <v>0</v>
      </c>
      <c r="R51" s="14">
        <v>0</v>
      </c>
      <c r="S51" s="14">
        <v>0</v>
      </c>
      <c r="T51" s="14">
        <f>40405.5-3400</f>
        <v>37005.5</v>
      </c>
      <c r="U51" s="100"/>
      <c r="V51" s="15">
        <f>SUM(I51:T51)</f>
        <v>464310</v>
      </c>
    </row>
    <row r="52" spans="1:22" ht="38.25">
      <c r="A52" s="56" t="s">
        <v>87</v>
      </c>
      <c r="B52" s="48" t="s">
        <v>158</v>
      </c>
      <c r="C52" s="23" t="s">
        <v>6</v>
      </c>
      <c r="D52" s="23">
        <v>5210100590</v>
      </c>
      <c r="E52" s="23">
        <v>244</v>
      </c>
      <c r="F52" s="23">
        <v>340</v>
      </c>
      <c r="G52" s="23"/>
      <c r="H52" s="24">
        <v>56000</v>
      </c>
      <c r="I52" s="14">
        <v>0</v>
      </c>
      <c r="J52" s="14">
        <v>10400</v>
      </c>
      <c r="K52" s="14">
        <v>0</v>
      </c>
      <c r="L52" s="14">
        <v>15000</v>
      </c>
      <c r="M52" s="14">
        <v>0</v>
      </c>
      <c r="N52" s="14">
        <v>0</v>
      </c>
      <c r="O52" s="14">
        <v>0</v>
      </c>
      <c r="P52" s="14">
        <f>20000-10400</f>
        <v>9600</v>
      </c>
      <c r="Q52" s="14">
        <v>21000</v>
      </c>
      <c r="R52" s="14">
        <v>0</v>
      </c>
      <c r="S52" s="14">
        <v>0</v>
      </c>
      <c r="T52" s="14">
        <v>0</v>
      </c>
      <c r="U52" s="100"/>
      <c r="V52" s="15">
        <f>SUM(I52:T52)</f>
        <v>56000</v>
      </c>
    </row>
    <row r="53" spans="1:22" ht="12.75">
      <c r="A53" s="56"/>
      <c r="B53" s="23"/>
      <c r="C53" s="28"/>
      <c r="D53" s="28"/>
      <c r="E53" s="28"/>
      <c r="F53" s="28"/>
      <c r="G53" s="2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00"/>
      <c r="V53" s="15"/>
    </row>
    <row r="54" spans="1:22" s="7" customFormat="1" ht="85.5" customHeight="1">
      <c r="A54" s="62" t="s">
        <v>87</v>
      </c>
      <c r="B54" s="90" t="s">
        <v>51</v>
      </c>
      <c r="C54" s="37" t="s">
        <v>6</v>
      </c>
      <c r="D54" s="37">
        <v>5220000000</v>
      </c>
      <c r="E54" s="37"/>
      <c r="F54" s="36"/>
      <c r="G54" s="37"/>
      <c r="H54" s="13">
        <f>H55+H56+H59+H61+H62+H63+H58+H60+H57+H64</f>
        <v>8676500</v>
      </c>
      <c r="I54" s="13">
        <f aca="true" t="shared" si="8" ref="I54:T54">I55+I56+I59+I61+I62+I63+I58+I60+I57+I64</f>
        <v>278493.50999999995</v>
      </c>
      <c r="J54" s="13">
        <f t="shared" si="8"/>
        <v>685563.54</v>
      </c>
      <c r="K54" s="13">
        <f t="shared" si="8"/>
        <v>522877.57000000007</v>
      </c>
      <c r="L54" s="13">
        <f t="shared" si="8"/>
        <v>708786.0299999999</v>
      </c>
      <c r="M54" s="13">
        <f t="shared" si="8"/>
        <v>619245.37</v>
      </c>
      <c r="N54" s="13">
        <f t="shared" si="8"/>
        <v>769040</v>
      </c>
      <c r="O54" s="13">
        <f t="shared" si="8"/>
        <v>746932.55</v>
      </c>
      <c r="P54" s="13">
        <f t="shared" si="8"/>
        <v>727240.77</v>
      </c>
      <c r="Q54" s="13">
        <f t="shared" si="8"/>
        <v>748678.08</v>
      </c>
      <c r="R54" s="13">
        <f t="shared" si="8"/>
        <v>757032.61</v>
      </c>
      <c r="S54" s="13">
        <f t="shared" si="8"/>
        <v>889550.43</v>
      </c>
      <c r="T54" s="13">
        <f t="shared" si="8"/>
        <v>1223059.54</v>
      </c>
      <c r="U54" s="101"/>
      <c r="V54" s="88">
        <f>V55+V56+V59+V61+V62+V63+V58+V60+V57+V64</f>
        <v>8676500</v>
      </c>
    </row>
    <row r="55" spans="1:22" ht="25.5">
      <c r="A55" s="56" t="s">
        <v>87</v>
      </c>
      <c r="B55" s="109" t="s">
        <v>165</v>
      </c>
      <c r="C55" s="23" t="s">
        <v>6</v>
      </c>
      <c r="D55" s="23">
        <v>5220100590</v>
      </c>
      <c r="E55" s="23">
        <v>111</v>
      </c>
      <c r="F55" s="23">
        <v>211</v>
      </c>
      <c r="G55" s="23"/>
      <c r="H55" s="24">
        <v>5264210</v>
      </c>
      <c r="I55" s="14">
        <f>222675-44825.83</f>
        <v>177849.16999999998</v>
      </c>
      <c r="J55" s="14">
        <f>412560+60323.39</f>
        <v>472883.39</v>
      </c>
      <c r="K55" s="14">
        <f>361449-70219.73</f>
        <v>291229.27</v>
      </c>
      <c r="L55" s="14">
        <v>404904</v>
      </c>
      <c r="M55" s="14">
        <v>403786</v>
      </c>
      <c r="N55" s="14">
        <v>563806</v>
      </c>
      <c r="O55" s="14">
        <v>467614</v>
      </c>
      <c r="P55" s="14">
        <v>466909</v>
      </c>
      <c r="Q55" s="14">
        <f>414738+70219.73</f>
        <v>484957.73</v>
      </c>
      <c r="R55" s="14">
        <f>464562+44825.83</f>
        <v>509387.83</v>
      </c>
      <c r="S55" s="14">
        <v>534680</v>
      </c>
      <c r="T55" s="14">
        <f>546527-60323.39</f>
        <v>486203.61</v>
      </c>
      <c r="U55" s="100"/>
      <c r="V55" s="15">
        <f aca="true" t="shared" si="9" ref="V55:V64">SUM(I55:T55)</f>
        <v>5264210</v>
      </c>
    </row>
    <row r="56" spans="1:22" ht="89.25">
      <c r="A56" s="56" t="s">
        <v>87</v>
      </c>
      <c r="B56" s="109" t="s">
        <v>166</v>
      </c>
      <c r="C56" s="23" t="s">
        <v>6</v>
      </c>
      <c r="D56" s="23">
        <v>5220100590</v>
      </c>
      <c r="E56" s="23">
        <v>119</v>
      </c>
      <c r="F56" s="23">
        <v>213</v>
      </c>
      <c r="G56" s="23"/>
      <c r="H56" s="24">
        <v>1589790</v>
      </c>
      <c r="I56" s="14">
        <v>0</v>
      </c>
      <c r="J56" s="14">
        <f>140735.45-20578.8-0.65+1194.38</f>
        <v>121350.38000000002</v>
      </c>
      <c r="K56" s="14">
        <f>140735.45-29625.34-0.11+2427.91</f>
        <v>113537.91000000002</v>
      </c>
      <c r="L56" s="14">
        <f>140735.45-30151.55-0.9</f>
        <v>110583.00000000001</v>
      </c>
      <c r="M56" s="14">
        <f>140735.45-23429.22-0.23</f>
        <v>117306.00000000001</v>
      </c>
      <c r="N56" s="14">
        <f>140735.45-24345.74-0.71</f>
        <v>116389</v>
      </c>
      <c r="O56" s="14">
        <f>140735.45+20083-886.53-0.92</f>
        <v>159931</v>
      </c>
      <c r="P56" s="14">
        <f>140735.45+20083-37113.77-0.68</f>
        <v>123704.00000000003</v>
      </c>
      <c r="Q56" s="14">
        <f>140735.45+23429.22-55788.94-0.73</f>
        <v>108375.00000000001</v>
      </c>
      <c r="R56" s="14">
        <f>140735.45+30151.55+55788.94-120501.44-0.5</f>
        <v>106174</v>
      </c>
      <c r="S56" s="14">
        <f>140735.45+29625.34+17200+60250.72-49943.05+3184-0.46</f>
        <v>201052.00000000003</v>
      </c>
      <c r="T56" s="14">
        <f>315010-1194.38-2427.91</f>
        <v>311387.71</v>
      </c>
      <c r="U56" s="100"/>
      <c r="V56" s="15">
        <f t="shared" si="9"/>
        <v>1589790</v>
      </c>
    </row>
    <row r="57" spans="1:22" ht="38.25" hidden="1">
      <c r="A57" s="56" t="s">
        <v>87</v>
      </c>
      <c r="B57" s="109" t="s">
        <v>200</v>
      </c>
      <c r="C57" s="23" t="s">
        <v>6</v>
      </c>
      <c r="D57" s="23">
        <v>5220100590</v>
      </c>
      <c r="E57" s="23">
        <v>112</v>
      </c>
      <c r="F57" s="23">
        <v>213</v>
      </c>
      <c r="G57" s="23"/>
      <c r="H57" s="2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00"/>
      <c r="V57" s="15">
        <f t="shared" si="9"/>
        <v>0</v>
      </c>
    </row>
    <row r="58" spans="1:22" ht="51">
      <c r="A58" s="56" t="s">
        <v>87</v>
      </c>
      <c r="B58" s="48" t="s">
        <v>169</v>
      </c>
      <c r="C58" s="23" t="s">
        <v>6</v>
      </c>
      <c r="D58" s="23">
        <v>5220100590</v>
      </c>
      <c r="E58" s="23">
        <v>242</v>
      </c>
      <c r="F58" s="23"/>
      <c r="G58" s="23"/>
      <c r="H58" s="24">
        <v>408800</v>
      </c>
      <c r="I58" s="14">
        <v>21911.15</v>
      </c>
      <c r="J58" s="14">
        <f>35736.36-13789.61-0.75-1426.48</f>
        <v>20519.52</v>
      </c>
      <c r="K58" s="14">
        <f>35736.36-15879.46+2000-0.9-1851.69</f>
        <v>20004.31</v>
      </c>
      <c r="L58" s="14">
        <f>35736.36-15879.46+2000-0.9</f>
        <v>21856</v>
      </c>
      <c r="M58" s="14">
        <f>35736.36-15729.7+2000-0.66</f>
        <v>22006</v>
      </c>
      <c r="N58" s="14">
        <f>35736.36-14040.77+1000-0.59</f>
        <v>22695</v>
      </c>
      <c r="O58" s="14">
        <f>35736.36-14296.08+1000-0.28</f>
        <v>22440</v>
      </c>
      <c r="P58" s="14">
        <f>35736.36+14040.77+14296.08-44514.63+3000-0.58</f>
        <v>22558.000000000007</v>
      </c>
      <c r="Q58" s="14">
        <f>35736.36+15729.7-31657.49+3000-0.57</f>
        <v>22807.999999999996</v>
      </c>
      <c r="R58" s="14">
        <f>35736.36+15879.46-31051.73+1700-0.09+1851.69</f>
        <v>24115.69</v>
      </c>
      <c r="S58" s="14">
        <f>22623+1426.48</f>
        <v>24049.48</v>
      </c>
      <c r="T58" s="14">
        <v>163836.85</v>
      </c>
      <c r="U58" s="100"/>
      <c r="V58" s="15">
        <f t="shared" si="9"/>
        <v>408800</v>
      </c>
    </row>
    <row r="59" spans="1:22" ht="25.5">
      <c r="A59" s="56" t="s">
        <v>87</v>
      </c>
      <c r="B59" s="110" t="s">
        <v>168</v>
      </c>
      <c r="C59" s="23" t="s">
        <v>6</v>
      </c>
      <c r="D59" s="23">
        <v>5220100590</v>
      </c>
      <c r="E59" s="23">
        <v>247</v>
      </c>
      <c r="F59" s="23">
        <v>226</v>
      </c>
      <c r="G59" s="23"/>
      <c r="H59" s="24">
        <v>384500</v>
      </c>
      <c r="I59" s="14">
        <v>14924.46</v>
      </c>
      <c r="J59" s="14">
        <f>3295+14327.8+29655</f>
        <v>47277.8</v>
      </c>
      <c r="K59" s="14">
        <f>54800-29655+15327.2+3046.47</f>
        <v>43518.67</v>
      </c>
      <c r="L59" s="14">
        <v>32000</v>
      </c>
      <c r="M59" s="14">
        <v>17800</v>
      </c>
      <c r="N59" s="14">
        <f>11100+350</f>
        <v>11450</v>
      </c>
      <c r="O59" s="14">
        <v>25800</v>
      </c>
      <c r="P59" s="14">
        <v>34700</v>
      </c>
      <c r="Q59" s="14">
        <v>47500</v>
      </c>
      <c r="R59" s="14">
        <v>31200</v>
      </c>
      <c r="S59" s="14">
        <v>31500</v>
      </c>
      <c r="T59" s="14">
        <f>64800-14924.46-3046.47</f>
        <v>46829.07</v>
      </c>
      <c r="U59" s="100"/>
      <c r="V59" s="15">
        <f t="shared" si="9"/>
        <v>384500</v>
      </c>
    </row>
    <row r="60" spans="1:22" ht="25.5">
      <c r="A60" s="56"/>
      <c r="B60" s="48" t="s">
        <v>157</v>
      </c>
      <c r="C60" s="23" t="s">
        <v>6</v>
      </c>
      <c r="D60" s="23">
        <v>5220100590</v>
      </c>
      <c r="E60" s="23">
        <v>244</v>
      </c>
      <c r="F60" s="23"/>
      <c r="G60" s="23"/>
      <c r="H60" s="24">
        <f>483700-32000</f>
        <v>451700</v>
      </c>
      <c r="I60" s="14">
        <f>43000-1318.27</f>
        <v>41681.73</v>
      </c>
      <c r="J60" s="14">
        <f>49980-36147.55</f>
        <v>13832.449999999997</v>
      </c>
      <c r="K60" s="14">
        <f>28600+675+10397.67</f>
        <v>39672.67</v>
      </c>
      <c r="L60" s="14">
        <f>117732-32000-10397.67</f>
        <v>75334.33</v>
      </c>
      <c r="M60" s="14">
        <f>28600+675-62</f>
        <v>29213</v>
      </c>
      <c r="N60" s="14">
        <v>15800</v>
      </c>
      <c r="O60" s="14">
        <f>12500+36147.55</f>
        <v>48647.55</v>
      </c>
      <c r="P60" s="14">
        <v>46100</v>
      </c>
      <c r="Q60" s="14">
        <v>29300</v>
      </c>
      <c r="R60" s="14">
        <v>29300</v>
      </c>
      <c r="S60" s="14">
        <f>22100+1318.27</f>
        <v>23418.27</v>
      </c>
      <c r="T60" s="14">
        <v>59400</v>
      </c>
      <c r="U60" s="100"/>
      <c r="V60" s="15">
        <f t="shared" si="9"/>
        <v>451700</v>
      </c>
    </row>
    <row r="61" spans="1:22" s="7" customFormat="1" ht="38.25">
      <c r="A61" s="65" t="s">
        <v>87</v>
      </c>
      <c r="B61" s="48" t="s">
        <v>158</v>
      </c>
      <c r="C61" s="23" t="s">
        <v>6</v>
      </c>
      <c r="D61" s="23">
        <v>5220100590</v>
      </c>
      <c r="E61" s="23">
        <v>244</v>
      </c>
      <c r="F61" s="23">
        <v>340</v>
      </c>
      <c r="G61" s="23" t="s">
        <v>41</v>
      </c>
      <c r="H61" s="24">
        <v>486500</v>
      </c>
      <c r="I61" s="14">
        <v>0</v>
      </c>
      <c r="J61" s="14">
        <v>9700</v>
      </c>
      <c r="K61" s="14">
        <f>20000+32500-37585.28</f>
        <v>14914.720000000001</v>
      </c>
      <c r="L61" s="14">
        <f>32500+29485.7</f>
        <v>61985.7</v>
      </c>
      <c r="M61" s="14">
        <f>20000+32500-23365.63</f>
        <v>29134.37</v>
      </c>
      <c r="N61" s="14">
        <f>21400+32500-15000</f>
        <v>38900</v>
      </c>
      <c r="O61" s="14">
        <f>32500-10000</f>
        <v>22500</v>
      </c>
      <c r="P61" s="14">
        <f>20000+32500+10000-43330.23</f>
        <v>19169.769999999997</v>
      </c>
      <c r="Q61" s="14">
        <f>32500+23365.63+15000-15128.28</f>
        <v>55737.350000000006</v>
      </c>
      <c r="R61" s="14">
        <f>20000+32500+15000-10644.91</f>
        <v>56855.09</v>
      </c>
      <c r="S61" s="14">
        <f>20000+32500+37585.28-29485.7+15128.28+1064.91-13142.09</f>
        <v>63650.68000000001</v>
      </c>
      <c r="T61" s="14">
        <f>31100+32500+32500-31900+43330.23+9580+13142.09-16300</f>
        <v>113952.32</v>
      </c>
      <c r="U61" s="100"/>
      <c r="V61" s="15">
        <f t="shared" si="9"/>
        <v>486500</v>
      </c>
    </row>
    <row r="62" spans="1:22" ht="30.75" customHeight="1">
      <c r="A62" s="56" t="s">
        <v>87</v>
      </c>
      <c r="B62" s="48" t="s">
        <v>159</v>
      </c>
      <c r="C62" s="23" t="s">
        <v>6</v>
      </c>
      <c r="D62" s="23">
        <v>5220100590</v>
      </c>
      <c r="E62" s="23">
        <v>851</v>
      </c>
      <c r="F62" s="23">
        <v>290</v>
      </c>
      <c r="G62" s="23" t="s">
        <v>50</v>
      </c>
      <c r="H62" s="24">
        <v>46000</v>
      </c>
      <c r="I62" s="14">
        <v>20550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14100</v>
      </c>
      <c r="Q62" s="14">
        <v>0</v>
      </c>
      <c r="R62" s="14">
        <v>0</v>
      </c>
      <c r="S62" s="14">
        <v>11200</v>
      </c>
      <c r="T62" s="14">
        <f>20700-20550</f>
        <v>150</v>
      </c>
      <c r="U62" s="100"/>
      <c r="V62" s="15">
        <f t="shared" si="9"/>
        <v>46000</v>
      </c>
    </row>
    <row r="63" spans="1:22" ht="18" customHeight="1">
      <c r="A63" s="56" t="s">
        <v>87</v>
      </c>
      <c r="B63" s="48" t="s">
        <v>167</v>
      </c>
      <c r="C63" s="23" t="s">
        <v>6</v>
      </c>
      <c r="D63" s="23">
        <v>5220100590</v>
      </c>
      <c r="E63" s="23">
        <v>852</v>
      </c>
      <c r="F63" s="23"/>
      <c r="G63" s="23"/>
      <c r="H63" s="24">
        <v>13000</v>
      </c>
      <c r="I63" s="14">
        <v>1577</v>
      </c>
      <c r="J63" s="14">
        <v>0</v>
      </c>
      <c r="K63" s="14">
        <v>0</v>
      </c>
      <c r="L63" s="14">
        <v>2123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9300</v>
      </c>
      <c r="U63" s="100"/>
      <c r="V63" s="15">
        <f t="shared" si="9"/>
        <v>13000</v>
      </c>
    </row>
    <row r="64" spans="1:22" ht="21" customHeight="1">
      <c r="A64" s="56" t="s">
        <v>87</v>
      </c>
      <c r="B64" s="48" t="s">
        <v>201</v>
      </c>
      <c r="C64" s="23" t="s">
        <v>6</v>
      </c>
      <c r="D64" s="23">
        <v>5220100590</v>
      </c>
      <c r="E64" s="23">
        <v>853</v>
      </c>
      <c r="F64" s="23"/>
      <c r="G64" s="23"/>
      <c r="H64" s="24">
        <v>32000</v>
      </c>
      <c r="I64" s="14">
        <v>0</v>
      </c>
      <c r="J64" s="14">
        <v>0</v>
      </c>
      <c r="K64" s="14">
        <v>0.02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31999.98</v>
      </c>
      <c r="U64" s="100"/>
      <c r="V64" s="15">
        <f t="shared" si="9"/>
        <v>32000</v>
      </c>
    </row>
    <row r="65" spans="1:22" ht="12.75">
      <c r="A65" s="56"/>
      <c r="B65" s="23"/>
      <c r="C65" s="28"/>
      <c r="D65" s="28"/>
      <c r="E65" s="28"/>
      <c r="F65" s="28"/>
      <c r="G65" s="2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00"/>
      <c r="V65" s="15"/>
    </row>
    <row r="66" spans="1:22" s="7" customFormat="1" ht="51">
      <c r="A66" s="62" t="s">
        <v>87</v>
      </c>
      <c r="B66" s="90" t="s">
        <v>52</v>
      </c>
      <c r="C66" s="37" t="s">
        <v>6</v>
      </c>
      <c r="D66" s="37">
        <v>5230000000</v>
      </c>
      <c r="E66" s="36"/>
      <c r="F66" s="36"/>
      <c r="G66" s="37"/>
      <c r="H66" s="13">
        <f aca="true" t="shared" si="10" ref="H66:T66">H67+H68+H69</f>
        <v>1383500</v>
      </c>
      <c r="I66" s="13">
        <f t="shared" si="10"/>
        <v>55518.29</v>
      </c>
      <c r="J66" s="13">
        <f t="shared" si="10"/>
        <v>92536.39</v>
      </c>
      <c r="K66" s="13">
        <f t="shared" si="10"/>
        <v>82922.41999999998</v>
      </c>
      <c r="L66" s="13">
        <f t="shared" si="10"/>
        <v>92200</v>
      </c>
      <c r="M66" s="13">
        <f t="shared" si="10"/>
        <v>163900</v>
      </c>
      <c r="N66" s="13">
        <f t="shared" si="10"/>
        <v>119481.48999999999</v>
      </c>
      <c r="O66" s="13">
        <f t="shared" si="10"/>
        <v>97326.47</v>
      </c>
      <c r="P66" s="13">
        <f t="shared" si="10"/>
        <v>110600</v>
      </c>
      <c r="Q66" s="13">
        <f t="shared" si="10"/>
        <v>100600</v>
      </c>
      <c r="R66" s="13">
        <f t="shared" si="10"/>
        <v>140900</v>
      </c>
      <c r="S66" s="13">
        <f t="shared" si="10"/>
        <v>145657.82</v>
      </c>
      <c r="T66" s="13">
        <f t="shared" si="10"/>
        <v>181857.12</v>
      </c>
      <c r="U66" s="58"/>
      <c r="V66" s="88">
        <f>V67+V68+V69</f>
        <v>1383500</v>
      </c>
    </row>
    <row r="67" spans="1:22" ht="25.5">
      <c r="A67" s="56" t="s">
        <v>87</v>
      </c>
      <c r="B67" s="109" t="s">
        <v>165</v>
      </c>
      <c r="C67" s="23" t="s">
        <v>6</v>
      </c>
      <c r="D67" s="23">
        <v>5230100590</v>
      </c>
      <c r="E67" s="23">
        <v>111</v>
      </c>
      <c r="F67" s="23">
        <v>211</v>
      </c>
      <c r="G67" s="23"/>
      <c r="H67" s="24">
        <v>1036175</v>
      </c>
      <c r="I67" s="14">
        <f>31900+23618.29</f>
        <v>55518.29</v>
      </c>
      <c r="J67" s="14">
        <f>73700-8581.49</f>
        <v>65118.51</v>
      </c>
      <c r="K67" s="14">
        <f>110400-23618.29-21757.82</f>
        <v>65023.88999999999</v>
      </c>
      <c r="L67" s="14">
        <v>62100</v>
      </c>
      <c r="M67" s="14">
        <v>141300</v>
      </c>
      <c r="N67" s="14">
        <f>53800+8581.49</f>
        <v>62381.49</v>
      </c>
      <c r="O67" s="14">
        <v>72800</v>
      </c>
      <c r="P67" s="14">
        <v>88000</v>
      </c>
      <c r="Q67" s="14">
        <v>77700</v>
      </c>
      <c r="R67" s="14">
        <v>116100</v>
      </c>
      <c r="S67" s="14">
        <f>85800+21757.82</f>
        <v>107557.82</v>
      </c>
      <c r="T67" s="14">
        <v>122575</v>
      </c>
      <c r="U67" s="100"/>
      <c r="V67" s="15">
        <f>SUM(I67:T67)</f>
        <v>1036175</v>
      </c>
    </row>
    <row r="68" spans="1:22" ht="89.25">
      <c r="A68" s="56" t="s">
        <v>87</v>
      </c>
      <c r="B68" s="109" t="s">
        <v>166</v>
      </c>
      <c r="C68" s="23" t="s">
        <v>6</v>
      </c>
      <c r="D68" s="23">
        <v>5230100590</v>
      </c>
      <c r="E68" s="23">
        <v>119</v>
      </c>
      <c r="F68" s="23">
        <v>213</v>
      </c>
      <c r="G68" s="23"/>
      <c r="H68" s="24">
        <v>312925</v>
      </c>
      <c r="I68" s="14">
        <v>0</v>
      </c>
      <c r="J68" s="14">
        <f>21700+5717.88</f>
        <v>27417.88</v>
      </c>
      <c r="K68" s="14">
        <f>25100-7201.47</f>
        <v>17898.53</v>
      </c>
      <c r="L68" s="14">
        <v>30100</v>
      </c>
      <c r="M68" s="14">
        <v>22600</v>
      </c>
      <c r="N68" s="14">
        <v>39900</v>
      </c>
      <c r="O68" s="14">
        <f>17325+7201.47</f>
        <v>24526.47</v>
      </c>
      <c r="P68" s="14">
        <v>22600</v>
      </c>
      <c r="Q68" s="14">
        <v>22900</v>
      </c>
      <c r="R68" s="14">
        <v>24800</v>
      </c>
      <c r="S68" s="14">
        <v>38100</v>
      </c>
      <c r="T68" s="14">
        <f>47800-5717.88</f>
        <v>42082.12</v>
      </c>
      <c r="U68" s="100"/>
      <c r="V68" s="15">
        <f>SUM(I68:T68)</f>
        <v>312925</v>
      </c>
    </row>
    <row r="69" spans="1:22" ht="38.25">
      <c r="A69" s="56" t="s">
        <v>87</v>
      </c>
      <c r="B69" s="48" t="s">
        <v>158</v>
      </c>
      <c r="C69" s="23" t="s">
        <v>6</v>
      </c>
      <c r="D69" s="23">
        <v>5230100590</v>
      </c>
      <c r="E69" s="23">
        <v>244</v>
      </c>
      <c r="F69" s="23">
        <v>340</v>
      </c>
      <c r="G69" s="23"/>
      <c r="H69" s="24">
        <v>34400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17200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17200</v>
      </c>
      <c r="U69" s="100"/>
      <c r="V69" s="15">
        <f>SUM(I69:T69)</f>
        <v>34400</v>
      </c>
    </row>
    <row r="70" spans="1:22" ht="12.75">
      <c r="A70" s="56"/>
      <c r="B70" s="23"/>
      <c r="C70" s="28"/>
      <c r="D70" s="28"/>
      <c r="E70" s="28"/>
      <c r="F70" s="28"/>
      <c r="G70" s="2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00"/>
      <c r="V70" s="15"/>
    </row>
    <row r="71" spans="1:22" ht="63.75">
      <c r="A71" s="62" t="s">
        <v>87</v>
      </c>
      <c r="B71" s="90" t="s">
        <v>107</v>
      </c>
      <c r="C71" s="37" t="s">
        <v>6</v>
      </c>
      <c r="D71" s="37">
        <v>5300000000</v>
      </c>
      <c r="E71" s="35"/>
      <c r="F71" s="35"/>
      <c r="G71" s="41"/>
      <c r="H71" s="13">
        <f aca="true" t="shared" si="11" ref="H71:T71">H75+H78+H81</f>
        <v>504400</v>
      </c>
      <c r="I71" s="13">
        <f t="shared" si="11"/>
        <v>0</v>
      </c>
      <c r="J71" s="13">
        <f t="shared" si="11"/>
        <v>47144</v>
      </c>
      <c r="K71" s="13">
        <f t="shared" si="11"/>
        <v>93145.05</v>
      </c>
      <c r="L71" s="13">
        <f t="shared" si="11"/>
        <v>27144</v>
      </c>
      <c r="M71" s="13">
        <f t="shared" si="11"/>
        <v>35256</v>
      </c>
      <c r="N71" s="13">
        <f t="shared" si="11"/>
        <v>100454.95</v>
      </c>
      <c r="O71" s="13">
        <f t="shared" si="11"/>
        <v>34650</v>
      </c>
      <c r="P71" s="13">
        <f t="shared" si="11"/>
        <v>31200</v>
      </c>
      <c r="Q71" s="13">
        <f t="shared" si="11"/>
        <v>31200</v>
      </c>
      <c r="R71" s="13">
        <f t="shared" si="11"/>
        <v>62400</v>
      </c>
      <c r="S71" s="13">
        <f t="shared" si="11"/>
        <v>0</v>
      </c>
      <c r="T71" s="13">
        <f t="shared" si="11"/>
        <v>41806</v>
      </c>
      <c r="U71" s="101"/>
      <c r="V71" s="87">
        <f>SUM(I71:T71)</f>
        <v>504400</v>
      </c>
    </row>
    <row r="72" spans="1:22" ht="12.75" hidden="1">
      <c r="A72" s="56" t="s">
        <v>37</v>
      </c>
      <c r="B72" s="23" t="s">
        <v>14</v>
      </c>
      <c r="C72" s="28" t="s">
        <v>6</v>
      </c>
      <c r="D72" s="16">
        <v>5510110010</v>
      </c>
      <c r="E72" s="28">
        <v>244</v>
      </c>
      <c r="F72" s="28">
        <v>290</v>
      </c>
      <c r="G72" s="23" t="s">
        <v>50</v>
      </c>
      <c r="H72" s="2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00"/>
      <c r="V72" s="15">
        <f>SUM(I72:T72)</f>
        <v>0</v>
      </c>
    </row>
    <row r="73" spans="1:22" ht="12.75">
      <c r="A73" s="56"/>
      <c r="B73" s="23"/>
      <c r="C73" s="28"/>
      <c r="D73" s="16"/>
      <c r="E73" s="28"/>
      <c r="F73" s="28"/>
      <c r="G73" s="2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00"/>
      <c r="V73" s="15"/>
    </row>
    <row r="74" spans="1:22" ht="12.75" hidden="1">
      <c r="A74" s="60"/>
      <c r="B74" s="67"/>
      <c r="C74" s="16"/>
      <c r="D74" s="16"/>
      <c r="E74" s="16"/>
      <c r="F74" s="16"/>
      <c r="G74" s="10"/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00"/>
      <c r="V74" s="15">
        <f>SUM(I74:T74)</f>
        <v>0</v>
      </c>
    </row>
    <row r="75" spans="1:22" s="7" customFormat="1" ht="123" customHeight="1">
      <c r="A75" s="62" t="s">
        <v>87</v>
      </c>
      <c r="B75" s="90" t="s">
        <v>108</v>
      </c>
      <c r="C75" s="37" t="s">
        <v>6</v>
      </c>
      <c r="D75" s="37">
        <v>5310000000</v>
      </c>
      <c r="E75" s="37"/>
      <c r="F75" s="36"/>
      <c r="G75" s="37"/>
      <c r="H75" s="13">
        <f aca="true" t="shared" si="12" ref="H75:T75">H76</f>
        <v>374400</v>
      </c>
      <c r="I75" s="13">
        <f t="shared" si="12"/>
        <v>0</v>
      </c>
      <c r="J75" s="13">
        <f t="shared" si="12"/>
        <v>27144</v>
      </c>
      <c r="K75" s="13">
        <f t="shared" si="12"/>
        <v>62400</v>
      </c>
      <c r="L75" s="13">
        <f t="shared" si="12"/>
        <v>27144</v>
      </c>
      <c r="M75" s="13">
        <f t="shared" si="12"/>
        <v>35256</v>
      </c>
      <c r="N75" s="13">
        <f t="shared" si="12"/>
        <v>31200</v>
      </c>
      <c r="O75" s="13">
        <f t="shared" si="12"/>
        <v>31200</v>
      </c>
      <c r="P75" s="13">
        <f t="shared" si="12"/>
        <v>31200</v>
      </c>
      <c r="Q75" s="13">
        <f t="shared" si="12"/>
        <v>31200</v>
      </c>
      <c r="R75" s="13">
        <f t="shared" si="12"/>
        <v>62400</v>
      </c>
      <c r="S75" s="13">
        <f t="shared" si="12"/>
        <v>0</v>
      </c>
      <c r="T75" s="13">
        <f t="shared" si="12"/>
        <v>35256</v>
      </c>
      <c r="U75" s="101"/>
      <c r="V75" s="87">
        <f>SUM(I75:T75)</f>
        <v>374400</v>
      </c>
    </row>
    <row r="76" spans="1:22" ht="24.75" customHeight="1">
      <c r="A76" s="56" t="s">
        <v>87</v>
      </c>
      <c r="B76" s="48" t="s">
        <v>170</v>
      </c>
      <c r="C76" s="23" t="s">
        <v>6</v>
      </c>
      <c r="D76" s="10">
        <v>5310110020</v>
      </c>
      <c r="E76" s="10">
        <v>360</v>
      </c>
      <c r="F76" s="10">
        <v>296</v>
      </c>
      <c r="G76" s="10" t="s">
        <v>53</v>
      </c>
      <c r="H76" s="29">
        <v>374400</v>
      </c>
      <c r="I76" s="14">
        <v>0</v>
      </c>
      <c r="J76" s="14">
        <v>27144</v>
      </c>
      <c r="K76" s="14">
        <f>93600-31200-27144+27144</f>
        <v>62400</v>
      </c>
      <c r="L76" s="14">
        <v>27144</v>
      </c>
      <c r="M76" s="14">
        <v>35256</v>
      </c>
      <c r="N76" s="14">
        <f>93600-27144-35256</f>
        <v>31200</v>
      </c>
      <c r="O76" s="14">
        <v>31200</v>
      </c>
      <c r="P76" s="14">
        <f>35256-4056</f>
        <v>31200</v>
      </c>
      <c r="Q76" s="14">
        <f>93600-62400</f>
        <v>31200</v>
      </c>
      <c r="R76" s="14">
        <f>4056+58344</f>
        <v>62400</v>
      </c>
      <c r="S76" s="14">
        <v>0</v>
      </c>
      <c r="T76" s="14">
        <f>62400-27144</f>
        <v>35256</v>
      </c>
      <c r="U76" s="100"/>
      <c r="V76" s="15">
        <f>SUM(I76:T76)</f>
        <v>374400</v>
      </c>
    </row>
    <row r="77" spans="1:22" ht="12.75">
      <c r="A77" s="56"/>
      <c r="B77" s="23"/>
      <c r="C77" s="23"/>
      <c r="D77" s="23"/>
      <c r="E77" s="23"/>
      <c r="F77" s="28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103"/>
      <c r="V77" s="15"/>
    </row>
    <row r="78" spans="1:22" s="7" customFormat="1" ht="76.5">
      <c r="A78" s="62" t="s">
        <v>87</v>
      </c>
      <c r="B78" s="90" t="s">
        <v>109</v>
      </c>
      <c r="C78" s="37" t="s">
        <v>6</v>
      </c>
      <c r="D78" s="37">
        <v>5320000000</v>
      </c>
      <c r="E78" s="37"/>
      <c r="F78" s="37"/>
      <c r="G78" s="37"/>
      <c r="H78" s="13">
        <f aca="true" t="shared" si="13" ref="H78:T78">H80</f>
        <v>10000</v>
      </c>
      <c r="I78" s="13">
        <f t="shared" si="13"/>
        <v>0</v>
      </c>
      <c r="J78" s="13">
        <f t="shared" si="13"/>
        <v>0</v>
      </c>
      <c r="K78" s="13">
        <f t="shared" si="13"/>
        <v>0</v>
      </c>
      <c r="L78" s="13">
        <f t="shared" si="13"/>
        <v>0</v>
      </c>
      <c r="M78" s="13">
        <f t="shared" si="13"/>
        <v>0</v>
      </c>
      <c r="N78" s="13">
        <f t="shared" si="13"/>
        <v>0</v>
      </c>
      <c r="O78" s="13">
        <f t="shared" si="13"/>
        <v>3450</v>
      </c>
      <c r="P78" s="13">
        <f t="shared" si="13"/>
        <v>0</v>
      </c>
      <c r="Q78" s="13">
        <f t="shared" si="13"/>
        <v>0</v>
      </c>
      <c r="R78" s="13">
        <f t="shared" si="13"/>
        <v>0</v>
      </c>
      <c r="S78" s="13">
        <f t="shared" si="13"/>
        <v>0</v>
      </c>
      <c r="T78" s="13">
        <f t="shared" si="13"/>
        <v>6550</v>
      </c>
      <c r="U78" s="101"/>
      <c r="V78" s="87">
        <f>SUM(I78:T78)</f>
        <v>10000</v>
      </c>
    </row>
    <row r="79" spans="1:22" s="8" customFormat="1" ht="12.75">
      <c r="A79" s="64"/>
      <c r="B79" s="9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103"/>
      <c r="V79" s="39"/>
    </row>
    <row r="80" spans="1:22" ht="38.25">
      <c r="A80" s="56" t="s">
        <v>87</v>
      </c>
      <c r="B80" s="48" t="s">
        <v>158</v>
      </c>
      <c r="C80" s="23" t="s">
        <v>6</v>
      </c>
      <c r="D80" s="10">
        <v>5320110030</v>
      </c>
      <c r="E80" s="23">
        <v>244</v>
      </c>
      <c r="F80" s="23">
        <v>340</v>
      </c>
      <c r="G80" s="23"/>
      <c r="H80" s="29">
        <v>10000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3450</v>
      </c>
      <c r="P80" s="14">
        <v>0</v>
      </c>
      <c r="Q80" s="14">
        <v>0</v>
      </c>
      <c r="R80" s="14">
        <v>0</v>
      </c>
      <c r="S80" s="14">
        <v>0</v>
      </c>
      <c r="T80" s="14">
        <v>6550</v>
      </c>
      <c r="U80" s="100"/>
      <c r="V80" s="15">
        <f>SUM(I80:T80)</f>
        <v>10000</v>
      </c>
    </row>
    <row r="81" spans="1:22" s="7" customFormat="1" ht="76.5">
      <c r="A81" s="62" t="s">
        <v>87</v>
      </c>
      <c r="B81" s="90" t="s">
        <v>110</v>
      </c>
      <c r="C81" s="37" t="s">
        <v>6</v>
      </c>
      <c r="D81" s="37">
        <v>5330000000</v>
      </c>
      <c r="E81" s="37"/>
      <c r="F81" s="37"/>
      <c r="G81" s="37"/>
      <c r="H81" s="13">
        <f aca="true" t="shared" si="14" ref="H81:T81">H82</f>
        <v>120000</v>
      </c>
      <c r="I81" s="13">
        <f t="shared" si="14"/>
        <v>0</v>
      </c>
      <c r="J81" s="13">
        <f t="shared" si="14"/>
        <v>20000</v>
      </c>
      <c r="K81" s="13">
        <f t="shared" si="14"/>
        <v>30745.05</v>
      </c>
      <c r="L81" s="13">
        <f t="shared" si="14"/>
        <v>0</v>
      </c>
      <c r="M81" s="13">
        <f t="shared" si="14"/>
        <v>0</v>
      </c>
      <c r="N81" s="13">
        <f t="shared" si="14"/>
        <v>69254.95</v>
      </c>
      <c r="O81" s="13">
        <f t="shared" si="14"/>
        <v>0</v>
      </c>
      <c r="P81" s="13">
        <f t="shared" si="14"/>
        <v>0</v>
      </c>
      <c r="Q81" s="13">
        <f t="shared" si="14"/>
        <v>0</v>
      </c>
      <c r="R81" s="13">
        <f t="shared" si="14"/>
        <v>0</v>
      </c>
      <c r="S81" s="13">
        <f t="shared" si="14"/>
        <v>0</v>
      </c>
      <c r="T81" s="13">
        <f t="shared" si="14"/>
        <v>0</v>
      </c>
      <c r="U81" s="101"/>
      <c r="V81" s="87">
        <f>SUM(I81:T81)</f>
        <v>120000</v>
      </c>
    </row>
    <row r="82" spans="1:22" ht="29.25" customHeight="1">
      <c r="A82" s="56" t="s">
        <v>87</v>
      </c>
      <c r="B82" s="48" t="s">
        <v>157</v>
      </c>
      <c r="C82" s="23" t="s">
        <v>6</v>
      </c>
      <c r="D82" s="10">
        <v>5330110040</v>
      </c>
      <c r="E82" s="23">
        <v>244</v>
      </c>
      <c r="F82" s="23">
        <v>226</v>
      </c>
      <c r="G82" s="23"/>
      <c r="H82" s="14">
        <v>120000</v>
      </c>
      <c r="I82" s="40">
        <v>0</v>
      </c>
      <c r="J82" s="40">
        <v>20000</v>
      </c>
      <c r="K82" s="40">
        <v>30745.05</v>
      </c>
      <c r="L82" s="40">
        <v>0</v>
      </c>
      <c r="M82" s="40">
        <v>0</v>
      </c>
      <c r="N82" s="40">
        <f>100000-30745.05</f>
        <v>69254.95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100"/>
      <c r="V82" s="15">
        <f>SUM(I82:T82)</f>
        <v>120000</v>
      </c>
    </row>
    <row r="83" spans="1:22" ht="12.75">
      <c r="A83" s="56"/>
      <c r="B83" s="23"/>
      <c r="C83" s="28"/>
      <c r="D83" s="16"/>
      <c r="E83" s="28"/>
      <c r="F83" s="28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103"/>
      <c r="V83" s="15"/>
    </row>
    <row r="84" spans="1:22" ht="71.25" customHeight="1">
      <c r="A84" s="62" t="s">
        <v>87</v>
      </c>
      <c r="B84" s="90" t="s">
        <v>111</v>
      </c>
      <c r="C84" s="37" t="s">
        <v>6</v>
      </c>
      <c r="D84" s="37">
        <v>5400000000</v>
      </c>
      <c r="E84" s="35"/>
      <c r="F84" s="35"/>
      <c r="G84" s="41"/>
      <c r="H84" s="13">
        <f aca="true" t="shared" si="15" ref="H84:T84">H86+H90</f>
        <v>405900</v>
      </c>
      <c r="I84" s="13">
        <f t="shared" si="15"/>
        <v>103402</v>
      </c>
      <c r="J84" s="13">
        <f t="shared" si="15"/>
        <v>33700</v>
      </c>
      <c r="K84" s="13">
        <f t="shared" si="15"/>
        <v>34970</v>
      </c>
      <c r="L84" s="13">
        <f t="shared" si="15"/>
        <v>35650</v>
      </c>
      <c r="M84" s="13">
        <f t="shared" si="15"/>
        <v>25650</v>
      </c>
      <c r="N84" s="13">
        <f t="shared" si="15"/>
        <v>33150</v>
      </c>
      <c r="O84" s="13">
        <f t="shared" si="15"/>
        <v>30150</v>
      </c>
      <c r="P84" s="13">
        <f t="shared" si="15"/>
        <v>30450</v>
      </c>
      <c r="Q84" s="13">
        <f t="shared" si="15"/>
        <v>30150</v>
      </c>
      <c r="R84" s="13">
        <f t="shared" si="15"/>
        <v>21300</v>
      </c>
      <c r="S84" s="13">
        <f t="shared" si="15"/>
        <v>15318</v>
      </c>
      <c r="T84" s="13">
        <f t="shared" si="15"/>
        <v>12010</v>
      </c>
      <c r="U84" s="101"/>
      <c r="V84" s="87">
        <f>SUM(I84:T84)</f>
        <v>405900</v>
      </c>
    </row>
    <row r="85" spans="1:22" ht="15" customHeight="1">
      <c r="A85" s="56"/>
      <c r="B85" s="23"/>
      <c r="C85" s="28"/>
      <c r="D85" s="16"/>
      <c r="E85" s="28"/>
      <c r="F85" s="28"/>
      <c r="G85" s="23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00"/>
      <c r="V85" s="15"/>
    </row>
    <row r="86" spans="1:22" s="7" customFormat="1" ht="98.25" customHeight="1">
      <c r="A86" s="62" t="s">
        <v>87</v>
      </c>
      <c r="B86" s="90" t="s">
        <v>171</v>
      </c>
      <c r="C86" s="37" t="s">
        <v>6</v>
      </c>
      <c r="D86" s="37">
        <v>5410000000</v>
      </c>
      <c r="E86" s="36"/>
      <c r="F86" s="36"/>
      <c r="G86" s="37"/>
      <c r="H86" s="13">
        <f aca="true" t="shared" si="16" ref="H86:T86">H87+H88+H89</f>
        <v>161200</v>
      </c>
      <c r="I86" s="13">
        <f t="shared" si="16"/>
        <v>63882</v>
      </c>
      <c r="J86" s="13">
        <f t="shared" si="16"/>
        <v>4000</v>
      </c>
      <c r="K86" s="13">
        <f t="shared" si="16"/>
        <v>3000</v>
      </c>
      <c r="L86" s="13">
        <f t="shared" si="16"/>
        <v>15150</v>
      </c>
      <c r="M86" s="13">
        <f t="shared" si="16"/>
        <v>5650</v>
      </c>
      <c r="N86" s="13">
        <f t="shared" si="16"/>
        <v>15150</v>
      </c>
      <c r="O86" s="13">
        <f t="shared" si="16"/>
        <v>15150</v>
      </c>
      <c r="P86" s="13">
        <f t="shared" si="16"/>
        <v>15450</v>
      </c>
      <c r="Q86" s="13">
        <f t="shared" si="16"/>
        <v>15150</v>
      </c>
      <c r="R86" s="13">
        <f t="shared" si="16"/>
        <v>6300</v>
      </c>
      <c r="S86" s="13">
        <f t="shared" si="16"/>
        <v>318</v>
      </c>
      <c r="T86" s="13">
        <f t="shared" si="16"/>
        <v>2000</v>
      </c>
      <c r="U86" s="101"/>
      <c r="V86" s="87">
        <f aca="true" t="shared" si="17" ref="V86:V97">SUM(I86:T86)</f>
        <v>161200</v>
      </c>
    </row>
    <row r="87" spans="1:22" ht="35.25" customHeight="1">
      <c r="A87" s="56" t="s">
        <v>87</v>
      </c>
      <c r="B87" s="48" t="s">
        <v>157</v>
      </c>
      <c r="C87" s="10" t="s">
        <v>6</v>
      </c>
      <c r="D87" s="10">
        <v>5410110060</v>
      </c>
      <c r="E87" s="10">
        <v>244</v>
      </c>
      <c r="F87" s="10">
        <v>226</v>
      </c>
      <c r="G87" s="10"/>
      <c r="H87" s="24">
        <v>56000</v>
      </c>
      <c r="I87" s="14">
        <f>5882+5000</f>
        <v>10882</v>
      </c>
      <c r="J87" s="14">
        <f>4200-200</f>
        <v>4000</v>
      </c>
      <c r="K87" s="14">
        <v>3000</v>
      </c>
      <c r="L87" s="14">
        <v>5000</v>
      </c>
      <c r="M87" s="14">
        <v>5500</v>
      </c>
      <c r="N87" s="14">
        <v>5000</v>
      </c>
      <c r="O87" s="14">
        <v>5000</v>
      </c>
      <c r="P87" s="14">
        <v>5300</v>
      </c>
      <c r="Q87" s="14">
        <v>5000</v>
      </c>
      <c r="R87" s="14">
        <v>5000</v>
      </c>
      <c r="S87" s="14">
        <f>6000-5882+200</f>
        <v>318</v>
      </c>
      <c r="T87" s="14">
        <v>2000</v>
      </c>
      <c r="U87" s="100"/>
      <c r="V87" s="15">
        <f t="shared" si="17"/>
        <v>56000</v>
      </c>
    </row>
    <row r="88" spans="1:22" ht="35.25" customHeight="1" hidden="1">
      <c r="A88" s="56" t="s">
        <v>87</v>
      </c>
      <c r="B88" s="48" t="s">
        <v>173</v>
      </c>
      <c r="C88" s="10" t="s">
        <v>6</v>
      </c>
      <c r="D88" s="10">
        <v>5410110060</v>
      </c>
      <c r="E88" s="10">
        <v>244</v>
      </c>
      <c r="F88" s="10">
        <v>310</v>
      </c>
      <c r="G88" s="10"/>
      <c r="H88" s="2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00"/>
      <c r="V88" s="15">
        <f t="shared" si="17"/>
        <v>0</v>
      </c>
    </row>
    <row r="89" spans="1:22" ht="41.25" customHeight="1">
      <c r="A89" s="56" t="s">
        <v>87</v>
      </c>
      <c r="B89" s="48" t="s">
        <v>158</v>
      </c>
      <c r="C89" s="10" t="s">
        <v>6</v>
      </c>
      <c r="D89" s="10">
        <v>5410110060</v>
      </c>
      <c r="E89" s="10">
        <v>244</v>
      </c>
      <c r="F89" s="10">
        <v>340</v>
      </c>
      <c r="G89" s="10"/>
      <c r="H89" s="24">
        <v>105200</v>
      </c>
      <c r="I89" s="14">
        <v>53000</v>
      </c>
      <c r="J89" s="14">
        <v>0</v>
      </c>
      <c r="K89" s="14">
        <v>0</v>
      </c>
      <c r="L89" s="14">
        <v>10150</v>
      </c>
      <c r="M89" s="14">
        <v>150</v>
      </c>
      <c r="N89" s="14">
        <v>10150</v>
      </c>
      <c r="O89" s="14">
        <v>10150</v>
      </c>
      <c r="P89" s="14">
        <v>10150</v>
      </c>
      <c r="Q89" s="14">
        <v>10150</v>
      </c>
      <c r="R89" s="14">
        <f>8850-7550</f>
        <v>1300</v>
      </c>
      <c r="S89" s="14">
        <v>0</v>
      </c>
      <c r="T89" s="14">
        <v>0</v>
      </c>
      <c r="U89" s="100"/>
      <c r="V89" s="15">
        <f t="shared" si="17"/>
        <v>105200</v>
      </c>
    </row>
    <row r="90" spans="1:22" s="7" customFormat="1" ht="86.25" customHeight="1">
      <c r="A90" s="62" t="s">
        <v>87</v>
      </c>
      <c r="B90" s="90" t="s">
        <v>172</v>
      </c>
      <c r="C90" s="37" t="s">
        <v>6</v>
      </c>
      <c r="D90" s="37">
        <v>5420000000</v>
      </c>
      <c r="E90" s="37"/>
      <c r="F90" s="37"/>
      <c r="G90" s="37"/>
      <c r="H90" s="13">
        <f aca="true" t="shared" si="18" ref="H90:T90">H91</f>
        <v>244700</v>
      </c>
      <c r="I90" s="13">
        <f t="shared" si="18"/>
        <v>39520</v>
      </c>
      <c r="J90" s="13">
        <f t="shared" si="18"/>
        <v>29700</v>
      </c>
      <c r="K90" s="13">
        <f t="shared" si="18"/>
        <v>31970</v>
      </c>
      <c r="L90" s="13">
        <f t="shared" si="18"/>
        <v>20500</v>
      </c>
      <c r="M90" s="13">
        <f t="shared" si="18"/>
        <v>20000</v>
      </c>
      <c r="N90" s="13">
        <f t="shared" si="18"/>
        <v>18000</v>
      </c>
      <c r="O90" s="13">
        <f t="shared" si="18"/>
        <v>15000</v>
      </c>
      <c r="P90" s="13">
        <f t="shared" si="18"/>
        <v>15000</v>
      </c>
      <c r="Q90" s="13">
        <f t="shared" si="18"/>
        <v>15000</v>
      </c>
      <c r="R90" s="13">
        <f t="shared" si="18"/>
        <v>15000</v>
      </c>
      <c r="S90" s="13">
        <f t="shared" si="18"/>
        <v>15000</v>
      </c>
      <c r="T90" s="13">
        <f t="shared" si="18"/>
        <v>10010</v>
      </c>
      <c r="U90" s="101"/>
      <c r="V90" s="87">
        <f t="shared" si="17"/>
        <v>244700</v>
      </c>
    </row>
    <row r="91" spans="1:22" ht="25.5" customHeight="1">
      <c r="A91" s="56" t="s">
        <v>87</v>
      </c>
      <c r="B91" s="48" t="s">
        <v>157</v>
      </c>
      <c r="C91" s="10" t="s">
        <v>6</v>
      </c>
      <c r="D91" s="10">
        <v>5420110070</v>
      </c>
      <c r="E91" s="10">
        <v>244</v>
      </c>
      <c r="F91" s="10">
        <v>226</v>
      </c>
      <c r="G91" s="10"/>
      <c r="H91" s="29">
        <f>320700-76000</f>
        <v>244700</v>
      </c>
      <c r="I91" s="14">
        <f>15000+24520</f>
        <v>39520</v>
      </c>
      <c r="J91" s="14">
        <f>20000+9700</f>
        <v>29700</v>
      </c>
      <c r="K91" s="14">
        <f>20000+11970</f>
        <v>31970</v>
      </c>
      <c r="L91" s="14">
        <v>20500</v>
      </c>
      <c r="M91" s="14">
        <v>20000</v>
      </c>
      <c r="N91" s="14">
        <f>22000-4000</f>
        <v>18000</v>
      </c>
      <c r="O91" s="14">
        <v>15000</v>
      </c>
      <c r="P91" s="14">
        <v>15000</v>
      </c>
      <c r="Q91" s="14">
        <v>15000</v>
      </c>
      <c r="R91" s="14">
        <v>15000</v>
      </c>
      <c r="S91" s="14">
        <v>15000</v>
      </c>
      <c r="T91" s="14">
        <f>56200-24520-9700-11970</f>
        <v>10010</v>
      </c>
      <c r="U91" s="100"/>
      <c r="V91" s="15">
        <f t="shared" si="17"/>
        <v>244700</v>
      </c>
    </row>
    <row r="92" spans="1:22" ht="15" customHeight="1">
      <c r="A92" s="60"/>
      <c r="B92" s="67"/>
      <c r="C92" s="12"/>
      <c r="D92" s="12"/>
      <c r="E92" s="16"/>
      <c r="F92" s="16"/>
      <c r="G92" s="10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00"/>
      <c r="V92" s="15">
        <f t="shared" si="17"/>
        <v>0</v>
      </c>
    </row>
    <row r="93" spans="1:22" ht="98.25" customHeight="1">
      <c r="A93" s="62" t="s">
        <v>87</v>
      </c>
      <c r="B93" s="90" t="s">
        <v>112</v>
      </c>
      <c r="C93" s="37" t="s">
        <v>6</v>
      </c>
      <c r="D93" s="37">
        <v>5500000000</v>
      </c>
      <c r="E93" s="41"/>
      <c r="F93" s="41"/>
      <c r="G93" s="41"/>
      <c r="H93" s="13">
        <f aca="true" t="shared" si="19" ref="H93:T93">H94</f>
        <v>100000</v>
      </c>
      <c r="I93" s="13">
        <f t="shared" si="19"/>
        <v>6830</v>
      </c>
      <c r="J93" s="13">
        <f t="shared" si="19"/>
        <v>0</v>
      </c>
      <c r="K93" s="13">
        <f t="shared" si="19"/>
        <v>48000</v>
      </c>
      <c r="L93" s="13">
        <f t="shared" si="19"/>
        <v>8000</v>
      </c>
      <c r="M93" s="13">
        <f t="shared" si="19"/>
        <v>0</v>
      </c>
      <c r="N93" s="13">
        <f t="shared" si="19"/>
        <v>12830</v>
      </c>
      <c r="O93" s="13">
        <f t="shared" si="19"/>
        <v>0</v>
      </c>
      <c r="P93" s="13">
        <f t="shared" si="19"/>
        <v>0</v>
      </c>
      <c r="Q93" s="13">
        <f t="shared" si="19"/>
        <v>13800</v>
      </c>
      <c r="R93" s="13">
        <f t="shared" si="19"/>
        <v>10540</v>
      </c>
      <c r="S93" s="13">
        <f t="shared" si="19"/>
        <v>0</v>
      </c>
      <c r="T93" s="13">
        <f t="shared" si="19"/>
        <v>0</v>
      </c>
      <c r="U93" s="101"/>
      <c r="V93" s="87">
        <f t="shared" si="17"/>
        <v>100000</v>
      </c>
    </row>
    <row r="94" spans="1:22" ht="43.5" customHeight="1">
      <c r="A94" s="56" t="s">
        <v>87</v>
      </c>
      <c r="B94" s="48" t="s">
        <v>158</v>
      </c>
      <c r="C94" s="10" t="s">
        <v>6</v>
      </c>
      <c r="D94" s="10">
        <v>5510110930</v>
      </c>
      <c r="E94" s="10">
        <v>244</v>
      </c>
      <c r="F94" s="10">
        <v>290</v>
      </c>
      <c r="G94" s="10"/>
      <c r="H94" s="14">
        <v>100000</v>
      </c>
      <c r="I94" s="14">
        <v>6830</v>
      </c>
      <c r="J94" s="14">
        <v>0</v>
      </c>
      <c r="K94" s="14">
        <f>10000+6906-6830+37924</f>
        <v>48000</v>
      </c>
      <c r="L94" s="14">
        <f>10000-2000</f>
        <v>8000</v>
      </c>
      <c r="M94" s="14">
        <v>0</v>
      </c>
      <c r="N94" s="14">
        <f>48434-21434-14170</f>
        <v>12830</v>
      </c>
      <c r="O94" s="14">
        <v>0</v>
      </c>
      <c r="P94" s="14">
        <v>0</v>
      </c>
      <c r="Q94" s="14">
        <v>13800</v>
      </c>
      <c r="R94" s="14">
        <f>10000+2000-1460</f>
        <v>10540</v>
      </c>
      <c r="S94" s="14">
        <v>0</v>
      </c>
      <c r="T94" s="14">
        <v>0</v>
      </c>
      <c r="U94" s="100"/>
      <c r="V94" s="15">
        <f t="shared" si="17"/>
        <v>100000</v>
      </c>
    </row>
    <row r="95" spans="1:22" ht="15" customHeight="1">
      <c r="A95" s="60"/>
      <c r="B95" s="67"/>
      <c r="C95" s="12"/>
      <c r="D95" s="12"/>
      <c r="E95" s="16"/>
      <c r="F95" s="16"/>
      <c r="G95" s="10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00"/>
      <c r="V95" s="15">
        <f t="shared" si="17"/>
        <v>0</v>
      </c>
    </row>
    <row r="96" spans="1:22" ht="96" customHeight="1">
      <c r="A96" s="62" t="s">
        <v>87</v>
      </c>
      <c r="B96" s="90" t="s">
        <v>113</v>
      </c>
      <c r="C96" s="37" t="s">
        <v>6</v>
      </c>
      <c r="D96" s="37">
        <v>5600000000</v>
      </c>
      <c r="E96" s="41"/>
      <c r="F96" s="41"/>
      <c r="G96" s="41"/>
      <c r="H96" s="13">
        <f aca="true" t="shared" si="20" ref="H96:T96">H97</f>
        <v>20000</v>
      </c>
      <c r="I96" s="13">
        <f t="shared" si="20"/>
        <v>0</v>
      </c>
      <c r="J96" s="13">
        <f t="shared" si="20"/>
        <v>0</v>
      </c>
      <c r="K96" s="13">
        <f t="shared" si="20"/>
        <v>0</v>
      </c>
      <c r="L96" s="13">
        <f t="shared" si="20"/>
        <v>0</v>
      </c>
      <c r="M96" s="13">
        <f t="shared" si="20"/>
        <v>0</v>
      </c>
      <c r="N96" s="13">
        <f t="shared" si="20"/>
        <v>0</v>
      </c>
      <c r="O96" s="13">
        <f t="shared" si="20"/>
        <v>0</v>
      </c>
      <c r="P96" s="13">
        <f t="shared" si="20"/>
        <v>0</v>
      </c>
      <c r="Q96" s="13">
        <f t="shared" si="20"/>
        <v>0</v>
      </c>
      <c r="R96" s="13">
        <f t="shared" si="20"/>
        <v>0</v>
      </c>
      <c r="S96" s="13">
        <f t="shared" si="20"/>
        <v>0</v>
      </c>
      <c r="T96" s="13">
        <f t="shared" si="20"/>
        <v>20000</v>
      </c>
      <c r="U96" s="101"/>
      <c r="V96" s="87">
        <f t="shared" si="17"/>
        <v>20000</v>
      </c>
    </row>
    <row r="97" spans="1:22" ht="33" customHeight="1">
      <c r="A97" s="56" t="s">
        <v>87</v>
      </c>
      <c r="B97" s="48" t="s">
        <v>157</v>
      </c>
      <c r="C97" s="10" t="s">
        <v>6</v>
      </c>
      <c r="D97" s="78" t="s">
        <v>142</v>
      </c>
      <c r="E97" s="10">
        <v>244</v>
      </c>
      <c r="F97" s="10">
        <v>290</v>
      </c>
      <c r="G97" s="10"/>
      <c r="H97" s="29">
        <v>20000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20000</v>
      </c>
      <c r="U97" s="100"/>
      <c r="V97" s="15">
        <f t="shared" si="17"/>
        <v>20000</v>
      </c>
    </row>
    <row r="98" spans="1:22" ht="15" customHeight="1">
      <c r="A98" s="56"/>
      <c r="B98" s="23"/>
      <c r="C98" s="10"/>
      <c r="D98" s="10"/>
      <c r="E98" s="10"/>
      <c r="F98" s="10"/>
      <c r="G98" s="10"/>
      <c r="H98" s="29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00"/>
      <c r="V98" s="15"/>
    </row>
    <row r="99" spans="1:22" s="85" customFormat="1" ht="142.5" customHeight="1">
      <c r="A99" s="62" t="s">
        <v>87</v>
      </c>
      <c r="B99" s="90" t="s">
        <v>192</v>
      </c>
      <c r="C99" s="37" t="s">
        <v>6</v>
      </c>
      <c r="D99" s="84" t="s">
        <v>148</v>
      </c>
      <c r="E99" s="37">
        <v>540</v>
      </c>
      <c r="F99" s="36"/>
      <c r="G99" s="37"/>
      <c r="H99" s="13">
        <v>31300</v>
      </c>
      <c r="I99" s="13">
        <v>0</v>
      </c>
      <c r="J99" s="13">
        <f>6375+1450</f>
        <v>7825</v>
      </c>
      <c r="K99" s="13">
        <v>0</v>
      </c>
      <c r="L99" s="13">
        <f>6375+1900</f>
        <v>8275</v>
      </c>
      <c r="M99" s="13">
        <v>0</v>
      </c>
      <c r="N99" s="13">
        <v>0</v>
      </c>
      <c r="O99" s="13">
        <f>6375+8275-1450</f>
        <v>13200</v>
      </c>
      <c r="P99" s="13">
        <v>0</v>
      </c>
      <c r="Q99" s="13">
        <v>0</v>
      </c>
      <c r="R99" s="13">
        <v>0</v>
      </c>
      <c r="S99" s="13">
        <v>0</v>
      </c>
      <c r="T99" s="13">
        <v>2000</v>
      </c>
      <c r="U99" s="101"/>
      <c r="V99" s="87">
        <f>SUM(I99:T99)</f>
        <v>31300</v>
      </c>
    </row>
    <row r="100" spans="1:22" s="85" customFormat="1" ht="15" customHeight="1">
      <c r="A100" s="116"/>
      <c r="B100" s="67"/>
      <c r="C100" s="31"/>
      <c r="D100" s="115"/>
      <c r="E100" s="31"/>
      <c r="F100" s="12"/>
      <c r="G100" s="31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101"/>
      <c r="V100" s="77"/>
    </row>
    <row r="101" spans="1:22" s="85" customFormat="1" ht="57.75" customHeight="1">
      <c r="A101" s="62" t="s">
        <v>87</v>
      </c>
      <c r="B101" s="90" t="s">
        <v>204</v>
      </c>
      <c r="C101" s="37" t="s">
        <v>6</v>
      </c>
      <c r="D101" s="84" t="s">
        <v>234</v>
      </c>
      <c r="E101" s="37">
        <v>853</v>
      </c>
      <c r="F101" s="36"/>
      <c r="G101" s="37"/>
      <c r="H101" s="13">
        <v>76000</v>
      </c>
      <c r="I101" s="13">
        <v>0</v>
      </c>
      <c r="J101" s="13">
        <v>0</v>
      </c>
      <c r="K101" s="13">
        <v>75842.49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157.51</v>
      </c>
      <c r="U101" s="101"/>
      <c r="V101" s="87">
        <f>I101+J101+K101+L101+M101+N101+O101+P101+Q101+R101+S101+T101</f>
        <v>76000</v>
      </c>
    </row>
    <row r="102" spans="1:22" ht="12.75">
      <c r="A102" s="56"/>
      <c r="B102" s="23"/>
      <c r="C102" s="16"/>
      <c r="D102" s="16"/>
      <c r="E102" s="16"/>
      <c r="F102" s="16"/>
      <c r="G102" s="10"/>
      <c r="H102" s="29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00"/>
      <c r="V102" s="15"/>
    </row>
    <row r="103" spans="1:22" ht="12.75">
      <c r="A103" s="56"/>
      <c r="B103" s="25" t="s">
        <v>45</v>
      </c>
      <c r="C103" s="25" t="s">
        <v>6</v>
      </c>
      <c r="D103" s="16"/>
      <c r="E103" s="16"/>
      <c r="F103" s="16"/>
      <c r="G103" s="10"/>
      <c r="H103" s="30">
        <f aca="true" t="shared" si="21" ref="H103:T103">H96+H93+H84+H71+H46+H44+H99+H101</f>
        <v>15561154</v>
      </c>
      <c r="I103" s="30">
        <f t="shared" si="21"/>
        <v>774946.3</v>
      </c>
      <c r="J103" s="30">
        <f t="shared" si="21"/>
        <v>1415845.7899999998</v>
      </c>
      <c r="K103" s="30">
        <f t="shared" si="21"/>
        <v>1121224.24</v>
      </c>
      <c r="L103" s="30">
        <f t="shared" si="21"/>
        <v>1326999.0299999998</v>
      </c>
      <c r="M103" s="30">
        <f t="shared" si="21"/>
        <v>1159392.37</v>
      </c>
      <c r="N103" s="30">
        <f t="shared" si="21"/>
        <v>1359037.44</v>
      </c>
      <c r="O103" s="30">
        <f t="shared" si="21"/>
        <v>1254472.56</v>
      </c>
      <c r="P103" s="30">
        <f t="shared" si="21"/>
        <v>1258330.77</v>
      </c>
      <c r="Q103" s="30">
        <f t="shared" si="21"/>
        <v>1336808.33</v>
      </c>
      <c r="R103" s="30">
        <f t="shared" si="21"/>
        <v>1385254.15</v>
      </c>
      <c r="S103" s="30">
        <f t="shared" si="21"/>
        <v>1340748.2500000002</v>
      </c>
      <c r="T103" s="30">
        <f t="shared" si="21"/>
        <v>1828094.7700000003</v>
      </c>
      <c r="U103" s="97"/>
      <c r="V103" s="97">
        <f>V96+V93+V84+V71+V46+V99+V101</f>
        <v>15561154</v>
      </c>
    </row>
    <row r="104" spans="1:22" ht="12.75">
      <c r="A104" s="56"/>
      <c r="B104" s="25"/>
      <c r="C104" s="25"/>
      <c r="D104" s="16"/>
      <c r="E104" s="16"/>
      <c r="F104" s="16"/>
      <c r="G104" s="1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97"/>
      <c r="V104" s="97"/>
    </row>
    <row r="105" spans="1:22" ht="26.25" customHeight="1">
      <c r="A105" s="66"/>
      <c r="B105" s="92" t="s">
        <v>54</v>
      </c>
      <c r="C105" s="68"/>
      <c r="D105" s="68"/>
      <c r="E105" s="68"/>
      <c r="F105" s="68"/>
      <c r="G105" s="92"/>
      <c r="H105" s="42">
        <f aca="true" t="shared" si="22" ref="H105:T105">H103+H43+H39+H34+H12</f>
        <v>25531119</v>
      </c>
      <c r="I105" s="42">
        <f t="shared" si="22"/>
        <v>1122810.6500000001</v>
      </c>
      <c r="J105" s="42">
        <f t="shared" si="22"/>
        <v>2302903.29</v>
      </c>
      <c r="K105" s="42">
        <f t="shared" si="22"/>
        <v>1778671.89</v>
      </c>
      <c r="L105" s="42">
        <f t="shared" si="22"/>
        <v>2075154.24</v>
      </c>
      <c r="M105" s="42">
        <f t="shared" si="22"/>
        <v>1844763.6300000001</v>
      </c>
      <c r="N105" s="42">
        <f t="shared" si="22"/>
        <v>2077475.47</v>
      </c>
      <c r="O105" s="42">
        <f t="shared" si="22"/>
        <v>2257530.51</v>
      </c>
      <c r="P105" s="42">
        <f t="shared" si="22"/>
        <v>2088984.3900000001</v>
      </c>
      <c r="Q105" s="42">
        <f t="shared" si="22"/>
        <v>2236724.72</v>
      </c>
      <c r="R105" s="42">
        <f t="shared" si="22"/>
        <v>2304415.7199999997</v>
      </c>
      <c r="S105" s="42">
        <f t="shared" si="22"/>
        <v>2406474.87</v>
      </c>
      <c r="T105" s="42">
        <f t="shared" si="22"/>
        <v>3035209.45</v>
      </c>
      <c r="U105" s="54"/>
      <c r="V105" s="98">
        <f>V103+V43+V39+V34+V12</f>
        <v>25531118.83</v>
      </c>
    </row>
    <row r="106" spans="1:22" ht="12.75">
      <c r="A106" s="60"/>
      <c r="B106" s="43"/>
      <c r="C106" s="12"/>
      <c r="D106" s="12"/>
      <c r="E106" s="12"/>
      <c r="F106" s="12"/>
      <c r="G106" s="4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103"/>
      <c r="V106" s="15"/>
    </row>
    <row r="107" spans="1:22" ht="51.75" customHeight="1">
      <c r="A107" s="62" t="s">
        <v>87</v>
      </c>
      <c r="B107" s="90" t="s">
        <v>55</v>
      </c>
      <c r="C107" s="37" t="s">
        <v>18</v>
      </c>
      <c r="D107" s="37">
        <v>8600000000</v>
      </c>
      <c r="E107" s="36"/>
      <c r="F107" s="36"/>
      <c r="G107" s="31"/>
      <c r="H107" s="13">
        <f aca="true" t="shared" si="23" ref="H107:T107">H108+H109</f>
        <v>593100</v>
      </c>
      <c r="I107" s="13">
        <f t="shared" si="23"/>
        <v>11052.32</v>
      </c>
      <c r="J107" s="13">
        <f t="shared" si="23"/>
        <v>49945.03</v>
      </c>
      <c r="K107" s="13">
        <f t="shared" si="23"/>
        <v>87202.65</v>
      </c>
      <c r="L107" s="13">
        <f t="shared" si="23"/>
        <v>43500</v>
      </c>
      <c r="M107" s="13">
        <f t="shared" si="23"/>
        <v>39700</v>
      </c>
      <c r="N107" s="13">
        <f t="shared" si="23"/>
        <v>70100</v>
      </c>
      <c r="O107" s="13">
        <f t="shared" si="23"/>
        <v>43500</v>
      </c>
      <c r="P107" s="13">
        <f t="shared" si="23"/>
        <v>47000</v>
      </c>
      <c r="Q107" s="13">
        <f t="shared" si="23"/>
        <v>68000</v>
      </c>
      <c r="R107" s="13">
        <f t="shared" si="23"/>
        <v>45500</v>
      </c>
      <c r="S107" s="13">
        <f t="shared" si="23"/>
        <v>46024.09</v>
      </c>
      <c r="T107" s="13">
        <f t="shared" si="23"/>
        <v>41575.909999999996</v>
      </c>
      <c r="U107" s="101"/>
      <c r="V107" s="87">
        <f aca="true" t="shared" si="24" ref="V107:V126">SUM(I107:T107)</f>
        <v>593100</v>
      </c>
    </row>
    <row r="108" spans="1:22" ht="51" customHeight="1">
      <c r="A108" s="56" t="s">
        <v>87</v>
      </c>
      <c r="B108" s="48" t="s">
        <v>155</v>
      </c>
      <c r="C108" s="10" t="s">
        <v>18</v>
      </c>
      <c r="D108" s="78" t="s">
        <v>143</v>
      </c>
      <c r="E108" s="10">
        <v>121</v>
      </c>
      <c r="F108" s="10">
        <v>211</v>
      </c>
      <c r="G108" s="10" t="s">
        <v>56</v>
      </c>
      <c r="H108" s="24">
        <v>455530</v>
      </c>
      <c r="I108" s="14">
        <f>14100-3047.68</f>
        <v>11052.32</v>
      </c>
      <c r="J108" s="14">
        <f>28500+3047.68+18321.44</f>
        <v>49869.119999999995</v>
      </c>
      <c r="K108" s="14">
        <f>47130+5759.27</f>
        <v>52889.270000000004</v>
      </c>
      <c r="L108" s="14">
        <v>34000</v>
      </c>
      <c r="M108" s="14">
        <v>30200</v>
      </c>
      <c r="N108" s="14">
        <v>49800</v>
      </c>
      <c r="O108" s="14">
        <v>36500</v>
      </c>
      <c r="P108" s="14">
        <v>37500</v>
      </c>
      <c r="Q108" s="14">
        <v>50000</v>
      </c>
      <c r="R108" s="14">
        <v>36500</v>
      </c>
      <c r="S108" s="14">
        <v>30800</v>
      </c>
      <c r="T108" s="14">
        <f>60500-18321.44-5759.27</f>
        <v>36419.28999999999</v>
      </c>
      <c r="U108" s="100"/>
      <c r="V108" s="15">
        <f t="shared" si="24"/>
        <v>455529.99999999994</v>
      </c>
    </row>
    <row r="109" spans="1:22" ht="92.25" customHeight="1">
      <c r="A109" s="56" t="s">
        <v>87</v>
      </c>
      <c r="B109" s="48" t="s">
        <v>156</v>
      </c>
      <c r="C109" s="10" t="s">
        <v>18</v>
      </c>
      <c r="D109" s="78" t="s">
        <v>143</v>
      </c>
      <c r="E109" s="10">
        <v>129</v>
      </c>
      <c r="F109" s="10">
        <v>211</v>
      </c>
      <c r="G109" s="63" t="s">
        <v>57</v>
      </c>
      <c r="H109" s="24">
        <v>137570</v>
      </c>
      <c r="I109" s="14">
        <v>0</v>
      </c>
      <c r="J109" s="14">
        <f>10000-9924.09</f>
        <v>75.90999999999985</v>
      </c>
      <c r="K109" s="14">
        <f>18500+15813.38</f>
        <v>34313.38</v>
      </c>
      <c r="L109" s="14">
        <v>9500</v>
      </c>
      <c r="M109" s="14">
        <v>9500</v>
      </c>
      <c r="N109" s="14">
        <v>20300</v>
      </c>
      <c r="O109" s="14">
        <v>7000</v>
      </c>
      <c r="P109" s="14">
        <v>9500</v>
      </c>
      <c r="Q109" s="14">
        <v>18000</v>
      </c>
      <c r="R109" s="14">
        <v>9000</v>
      </c>
      <c r="S109" s="14">
        <f>5300+9924.09</f>
        <v>15224.09</v>
      </c>
      <c r="T109" s="14">
        <f>20970-15813.38</f>
        <v>5156.620000000001</v>
      </c>
      <c r="U109" s="100"/>
      <c r="V109" s="15">
        <f t="shared" si="24"/>
        <v>137570</v>
      </c>
    </row>
    <row r="110" spans="1:22" ht="12.75">
      <c r="A110" s="60"/>
      <c r="B110" s="31"/>
      <c r="C110" s="16"/>
      <c r="D110" s="16"/>
      <c r="E110" s="16"/>
      <c r="F110" s="16"/>
      <c r="G110" s="10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00"/>
      <c r="V110" s="15">
        <f t="shared" si="24"/>
        <v>0</v>
      </c>
    </row>
    <row r="111" spans="1:22" s="3" customFormat="1" ht="12.75">
      <c r="A111" s="60"/>
      <c r="B111" s="61" t="s">
        <v>45</v>
      </c>
      <c r="C111" s="61" t="s">
        <v>18</v>
      </c>
      <c r="D111" s="16"/>
      <c r="E111" s="16"/>
      <c r="F111" s="16"/>
      <c r="G111" s="10"/>
      <c r="H111" s="30">
        <f aca="true" t="shared" si="25" ref="H111:T111">H107</f>
        <v>593100</v>
      </c>
      <c r="I111" s="30">
        <f t="shared" si="25"/>
        <v>11052.32</v>
      </c>
      <c r="J111" s="30">
        <f t="shared" si="25"/>
        <v>49945.03</v>
      </c>
      <c r="K111" s="30">
        <f t="shared" si="25"/>
        <v>87202.65</v>
      </c>
      <c r="L111" s="30">
        <f t="shared" si="25"/>
        <v>43500</v>
      </c>
      <c r="M111" s="30">
        <f t="shared" si="25"/>
        <v>39700</v>
      </c>
      <c r="N111" s="30">
        <f t="shared" si="25"/>
        <v>70100</v>
      </c>
      <c r="O111" s="30">
        <f t="shared" si="25"/>
        <v>43500</v>
      </c>
      <c r="P111" s="30">
        <f t="shared" si="25"/>
        <v>47000</v>
      </c>
      <c r="Q111" s="30">
        <f t="shared" si="25"/>
        <v>68000</v>
      </c>
      <c r="R111" s="30">
        <f t="shared" si="25"/>
        <v>45500</v>
      </c>
      <c r="S111" s="30">
        <f t="shared" si="25"/>
        <v>46024.09</v>
      </c>
      <c r="T111" s="30">
        <f t="shared" si="25"/>
        <v>41575.909999999996</v>
      </c>
      <c r="U111" s="102"/>
      <c r="V111" s="86">
        <f t="shared" si="24"/>
        <v>593100</v>
      </c>
    </row>
    <row r="112" spans="1:22" ht="12.75">
      <c r="A112" s="60"/>
      <c r="B112" s="31"/>
      <c r="C112" s="16"/>
      <c r="D112" s="16"/>
      <c r="E112" s="16"/>
      <c r="F112" s="16"/>
      <c r="G112" s="10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00"/>
      <c r="V112" s="15">
        <f t="shared" si="24"/>
        <v>0</v>
      </c>
    </row>
    <row r="113" spans="1:22" ht="12.75">
      <c r="A113" s="66"/>
      <c r="B113" s="92" t="s">
        <v>58</v>
      </c>
      <c r="C113" s="44"/>
      <c r="D113" s="44"/>
      <c r="E113" s="44"/>
      <c r="F113" s="44"/>
      <c r="G113" s="45"/>
      <c r="H113" s="42">
        <f aca="true" t="shared" si="26" ref="H113:T113">H111</f>
        <v>593100</v>
      </c>
      <c r="I113" s="42">
        <f t="shared" si="26"/>
        <v>11052.32</v>
      </c>
      <c r="J113" s="42">
        <f t="shared" si="26"/>
        <v>49945.03</v>
      </c>
      <c r="K113" s="42">
        <f t="shared" si="26"/>
        <v>87202.65</v>
      </c>
      <c r="L113" s="42">
        <f t="shared" si="26"/>
        <v>43500</v>
      </c>
      <c r="M113" s="42">
        <f t="shared" si="26"/>
        <v>39700</v>
      </c>
      <c r="N113" s="42">
        <f t="shared" si="26"/>
        <v>70100</v>
      </c>
      <c r="O113" s="42">
        <f t="shared" si="26"/>
        <v>43500</v>
      </c>
      <c r="P113" s="42">
        <f t="shared" si="26"/>
        <v>47000</v>
      </c>
      <c r="Q113" s="42">
        <f t="shared" si="26"/>
        <v>68000</v>
      </c>
      <c r="R113" s="42">
        <f t="shared" si="26"/>
        <v>45500</v>
      </c>
      <c r="S113" s="42">
        <f t="shared" si="26"/>
        <v>46024.09</v>
      </c>
      <c r="T113" s="42">
        <f t="shared" si="26"/>
        <v>41575.909999999996</v>
      </c>
      <c r="U113" s="104"/>
      <c r="V113" s="46">
        <f t="shared" si="24"/>
        <v>593100</v>
      </c>
    </row>
    <row r="114" spans="1:22" ht="12.75">
      <c r="A114" s="60"/>
      <c r="B114" s="43"/>
      <c r="C114" s="16"/>
      <c r="D114" s="16"/>
      <c r="E114" s="16"/>
      <c r="F114" s="16"/>
      <c r="G114" s="10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00"/>
      <c r="V114" s="15">
        <f t="shared" si="24"/>
        <v>0</v>
      </c>
    </row>
    <row r="115" spans="1:22" ht="79.5" customHeight="1">
      <c r="A115" s="62" t="s">
        <v>87</v>
      </c>
      <c r="B115" s="90" t="s">
        <v>114</v>
      </c>
      <c r="C115" s="37"/>
      <c r="D115" s="37">
        <v>5700000000</v>
      </c>
      <c r="E115" s="36"/>
      <c r="F115" s="36"/>
      <c r="G115" s="37"/>
      <c r="H115" s="13">
        <f aca="true" t="shared" si="27" ref="H115:T115">H117+H122+H125</f>
        <v>290900</v>
      </c>
      <c r="I115" s="13">
        <f t="shared" si="27"/>
        <v>0</v>
      </c>
      <c r="J115" s="13">
        <f t="shared" si="27"/>
        <v>8874</v>
      </c>
      <c r="K115" s="13">
        <f t="shared" si="27"/>
        <v>82104</v>
      </c>
      <c r="L115" s="13">
        <f t="shared" si="27"/>
        <v>8874</v>
      </c>
      <c r="M115" s="13">
        <f t="shared" si="27"/>
        <v>70026</v>
      </c>
      <c r="N115" s="13">
        <f t="shared" si="27"/>
        <v>10200</v>
      </c>
      <c r="O115" s="13">
        <f t="shared" si="27"/>
        <v>10200</v>
      </c>
      <c r="P115" s="13">
        <f t="shared" si="27"/>
        <v>10200</v>
      </c>
      <c r="Q115" s="13">
        <f t="shared" si="27"/>
        <v>48496</v>
      </c>
      <c r="R115" s="13">
        <f t="shared" si="27"/>
        <v>8874</v>
      </c>
      <c r="S115" s="13">
        <f t="shared" si="27"/>
        <v>11526</v>
      </c>
      <c r="T115" s="13">
        <f t="shared" si="27"/>
        <v>21526</v>
      </c>
      <c r="U115" s="101"/>
      <c r="V115" s="87">
        <f t="shared" si="24"/>
        <v>290900</v>
      </c>
    </row>
    <row r="116" spans="1:22" ht="12.75">
      <c r="A116" s="60"/>
      <c r="B116" s="43"/>
      <c r="C116" s="16"/>
      <c r="D116" s="16"/>
      <c r="E116" s="16"/>
      <c r="F116" s="16"/>
      <c r="G116" s="10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00"/>
      <c r="V116" s="15">
        <f t="shared" si="24"/>
        <v>0</v>
      </c>
    </row>
    <row r="117" spans="1:22" s="3" customFormat="1" ht="95.25" customHeight="1">
      <c r="A117" s="62" t="s">
        <v>87</v>
      </c>
      <c r="B117" s="90" t="s">
        <v>144</v>
      </c>
      <c r="C117" s="41" t="s">
        <v>115</v>
      </c>
      <c r="D117" s="37">
        <v>5710000000</v>
      </c>
      <c r="E117" s="37"/>
      <c r="F117" s="37"/>
      <c r="G117" s="37"/>
      <c r="H117" s="13">
        <f aca="true" t="shared" si="28" ref="H117:T117">H118</f>
        <v>10000</v>
      </c>
      <c r="I117" s="13">
        <f t="shared" si="28"/>
        <v>0</v>
      </c>
      <c r="J117" s="13">
        <f t="shared" si="28"/>
        <v>0</v>
      </c>
      <c r="K117" s="13">
        <f t="shared" si="28"/>
        <v>0</v>
      </c>
      <c r="L117" s="13">
        <f t="shared" si="28"/>
        <v>0</v>
      </c>
      <c r="M117" s="13">
        <f t="shared" si="28"/>
        <v>0</v>
      </c>
      <c r="N117" s="13">
        <f t="shared" si="28"/>
        <v>0</v>
      </c>
      <c r="O117" s="13">
        <f t="shared" si="28"/>
        <v>0</v>
      </c>
      <c r="P117" s="13">
        <f t="shared" si="28"/>
        <v>0</v>
      </c>
      <c r="Q117" s="13">
        <f t="shared" si="28"/>
        <v>0</v>
      </c>
      <c r="R117" s="13">
        <f t="shared" si="28"/>
        <v>0</v>
      </c>
      <c r="S117" s="13">
        <f t="shared" si="28"/>
        <v>0</v>
      </c>
      <c r="T117" s="13">
        <f t="shared" si="28"/>
        <v>10000</v>
      </c>
      <c r="U117" s="101"/>
      <c r="V117" s="87">
        <f t="shared" si="24"/>
        <v>10000</v>
      </c>
    </row>
    <row r="118" spans="1:22" ht="25.5">
      <c r="A118" s="60" t="s">
        <v>87</v>
      </c>
      <c r="B118" s="48" t="s">
        <v>157</v>
      </c>
      <c r="C118" s="10" t="s">
        <v>115</v>
      </c>
      <c r="D118" s="10">
        <v>5710110080</v>
      </c>
      <c r="E118" s="10">
        <v>244</v>
      </c>
      <c r="F118" s="10">
        <v>226</v>
      </c>
      <c r="G118" s="10"/>
      <c r="H118" s="14">
        <v>10000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10000</v>
      </c>
      <c r="U118" s="100"/>
      <c r="V118" s="15">
        <f t="shared" si="24"/>
        <v>10000</v>
      </c>
    </row>
    <row r="119" spans="1:22" ht="12.75">
      <c r="A119" s="60"/>
      <c r="B119" s="43"/>
      <c r="C119" s="16"/>
      <c r="D119" s="16"/>
      <c r="E119" s="16"/>
      <c r="F119" s="16"/>
      <c r="G119" s="10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00"/>
      <c r="V119" s="15">
        <f t="shared" si="24"/>
        <v>0</v>
      </c>
    </row>
    <row r="120" spans="1:22" ht="12.75">
      <c r="A120" s="60"/>
      <c r="B120" s="25" t="s">
        <v>45</v>
      </c>
      <c r="C120" s="25" t="s">
        <v>115</v>
      </c>
      <c r="D120" s="16"/>
      <c r="E120" s="16"/>
      <c r="F120" s="16"/>
      <c r="G120" s="10"/>
      <c r="H120" s="30">
        <f aca="true" t="shared" si="29" ref="H120:T120">H117</f>
        <v>10000</v>
      </c>
      <c r="I120" s="30">
        <f t="shared" si="29"/>
        <v>0</v>
      </c>
      <c r="J120" s="30">
        <f t="shared" si="29"/>
        <v>0</v>
      </c>
      <c r="K120" s="30">
        <f t="shared" si="29"/>
        <v>0</v>
      </c>
      <c r="L120" s="30">
        <f t="shared" si="29"/>
        <v>0</v>
      </c>
      <c r="M120" s="30">
        <f t="shared" si="29"/>
        <v>0</v>
      </c>
      <c r="N120" s="30">
        <f t="shared" si="29"/>
        <v>0</v>
      </c>
      <c r="O120" s="30">
        <f t="shared" si="29"/>
        <v>0</v>
      </c>
      <c r="P120" s="30">
        <f t="shared" si="29"/>
        <v>0</v>
      </c>
      <c r="Q120" s="30">
        <f t="shared" si="29"/>
        <v>0</v>
      </c>
      <c r="R120" s="30">
        <f t="shared" si="29"/>
        <v>0</v>
      </c>
      <c r="S120" s="30">
        <f t="shared" si="29"/>
        <v>0</v>
      </c>
      <c r="T120" s="30">
        <f t="shared" si="29"/>
        <v>10000</v>
      </c>
      <c r="U120" s="102"/>
      <c r="V120" s="47">
        <f t="shared" si="24"/>
        <v>10000</v>
      </c>
    </row>
    <row r="121" spans="1:22" ht="12.75">
      <c r="A121" s="60"/>
      <c r="B121" s="43"/>
      <c r="C121" s="16"/>
      <c r="D121" s="16"/>
      <c r="E121" s="16"/>
      <c r="F121" s="16"/>
      <c r="G121" s="10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00"/>
      <c r="V121" s="15">
        <f t="shared" si="24"/>
        <v>0</v>
      </c>
    </row>
    <row r="122" spans="1:22" s="3" customFormat="1" ht="81" customHeight="1">
      <c r="A122" s="62" t="s">
        <v>87</v>
      </c>
      <c r="B122" s="90" t="s">
        <v>116</v>
      </c>
      <c r="C122" s="37" t="s">
        <v>19</v>
      </c>
      <c r="D122" s="37">
        <v>5720000000</v>
      </c>
      <c r="E122" s="37"/>
      <c r="F122" s="37"/>
      <c r="G122" s="37"/>
      <c r="H122" s="13">
        <f aca="true" t="shared" si="30" ref="H122:T122">H123+H124</f>
        <v>158500</v>
      </c>
      <c r="I122" s="13">
        <f t="shared" si="30"/>
        <v>0</v>
      </c>
      <c r="J122" s="13">
        <f t="shared" si="30"/>
        <v>0</v>
      </c>
      <c r="K122" s="13">
        <f t="shared" si="30"/>
        <v>61704</v>
      </c>
      <c r="L122" s="13">
        <f t="shared" si="30"/>
        <v>0</v>
      </c>
      <c r="M122" s="13">
        <f t="shared" si="30"/>
        <v>58500</v>
      </c>
      <c r="N122" s="13">
        <f t="shared" si="30"/>
        <v>0</v>
      </c>
      <c r="O122" s="13">
        <f t="shared" si="30"/>
        <v>0</v>
      </c>
      <c r="P122" s="13">
        <f t="shared" si="30"/>
        <v>0</v>
      </c>
      <c r="Q122" s="13">
        <f t="shared" si="30"/>
        <v>38296</v>
      </c>
      <c r="R122" s="13">
        <f t="shared" si="30"/>
        <v>0</v>
      </c>
      <c r="S122" s="13">
        <f t="shared" si="30"/>
        <v>0</v>
      </c>
      <c r="T122" s="13">
        <f t="shared" si="30"/>
        <v>0</v>
      </c>
      <c r="U122" s="101"/>
      <c r="V122" s="87">
        <f t="shared" si="24"/>
        <v>158500</v>
      </c>
    </row>
    <row r="123" spans="1:22" ht="25.5" hidden="1">
      <c r="A123" s="56" t="s">
        <v>87</v>
      </c>
      <c r="B123" s="48" t="s">
        <v>157</v>
      </c>
      <c r="C123" s="10" t="s">
        <v>19</v>
      </c>
      <c r="D123" s="10">
        <v>5720110090</v>
      </c>
      <c r="E123" s="10">
        <v>244</v>
      </c>
      <c r="F123" s="10">
        <v>226</v>
      </c>
      <c r="G123" s="10"/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00"/>
      <c r="V123" s="15">
        <f t="shared" si="24"/>
        <v>0</v>
      </c>
    </row>
    <row r="124" spans="1:22" ht="38.25">
      <c r="A124" s="60" t="s">
        <v>87</v>
      </c>
      <c r="B124" s="48" t="s">
        <v>158</v>
      </c>
      <c r="C124" s="10" t="s">
        <v>19</v>
      </c>
      <c r="D124" s="10">
        <v>5720110090</v>
      </c>
      <c r="E124" s="10">
        <v>244</v>
      </c>
      <c r="F124" s="10">
        <v>340</v>
      </c>
      <c r="G124" s="10"/>
      <c r="H124" s="14">
        <v>158500</v>
      </c>
      <c r="I124" s="14">
        <v>0</v>
      </c>
      <c r="J124" s="14">
        <v>0</v>
      </c>
      <c r="K124" s="14">
        <v>61704</v>
      </c>
      <c r="L124" s="14">
        <v>0</v>
      </c>
      <c r="M124" s="14">
        <v>58500</v>
      </c>
      <c r="N124" s="14">
        <v>0</v>
      </c>
      <c r="O124" s="14">
        <v>0</v>
      </c>
      <c r="P124" s="14">
        <v>0</v>
      </c>
      <c r="Q124" s="14">
        <f>50000-11704</f>
        <v>38296</v>
      </c>
      <c r="R124" s="14">
        <v>0</v>
      </c>
      <c r="S124" s="14">
        <v>0</v>
      </c>
      <c r="T124" s="14">
        <v>0</v>
      </c>
      <c r="U124" s="100"/>
      <c r="V124" s="15">
        <f t="shared" si="24"/>
        <v>158500</v>
      </c>
    </row>
    <row r="125" spans="1:22" s="3" customFormat="1" ht="92.25" customHeight="1">
      <c r="A125" s="62" t="s">
        <v>87</v>
      </c>
      <c r="B125" s="90" t="s">
        <v>117</v>
      </c>
      <c r="C125" s="37" t="s">
        <v>19</v>
      </c>
      <c r="D125" s="37">
        <v>5730000000</v>
      </c>
      <c r="E125" s="37"/>
      <c r="F125" s="37"/>
      <c r="G125" s="13"/>
      <c r="H125" s="13">
        <f aca="true" t="shared" si="31" ref="H125:T125">H126</f>
        <v>122400</v>
      </c>
      <c r="I125" s="13">
        <f t="shared" si="31"/>
        <v>0</v>
      </c>
      <c r="J125" s="13">
        <f t="shared" si="31"/>
        <v>8874</v>
      </c>
      <c r="K125" s="13">
        <f t="shared" si="31"/>
        <v>20400</v>
      </c>
      <c r="L125" s="13">
        <f t="shared" si="31"/>
        <v>8874</v>
      </c>
      <c r="M125" s="13">
        <f t="shared" si="31"/>
        <v>11526</v>
      </c>
      <c r="N125" s="13">
        <f t="shared" si="31"/>
        <v>10200</v>
      </c>
      <c r="O125" s="13">
        <f t="shared" si="31"/>
        <v>10200</v>
      </c>
      <c r="P125" s="13">
        <f t="shared" si="31"/>
        <v>10200</v>
      </c>
      <c r="Q125" s="13">
        <f t="shared" si="31"/>
        <v>10200</v>
      </c>
      <c r="R125" s="13">
        <f t="shared" si="31"/>
        <v>8874</v>
      </c>
      <c r="S125" s="13">
        <f t="shared" si="31"/>
        <v>11526</v>
      </c>
      <c r="T125" s="13">
        <f t="shared" si="31"/>
        <v>11526</v>
      </c>
      <c r="U125" s="101"/>
      <c r="V125" s="87">
        <f t="shared" si="24"/>
        <v>122400</v>
      </c>
    </row>
    <row r="126" spans="1:22" ht="84.75" customHeight="1">
      <c r="A126" s="56" t="s">
        <v>87</v>
      </c>
      <c r="B126" s="48" t="s">
        <v>174</v>
      </c>
      <c r="C126" s="10" t="s">
        <v>19</v>
      </c>
      <c r="D126" s="10">
        <v>5730110100</v>
      </c>
      <c r="E126" s="10">
        <v>123</v>
      </c>
      <c r="F126" s="10">
        <v>296</v>
      </c>
      <c r="G126" s="14"/>
      <c r="H126" s="14">
        <v>122400</v>
      </c>
      <c r="I126" s="14">
        <v>0</v>
      </c>
      <c r="J126" s="14">
        <v>8874</v>
      </c>
      <c r="K126" s="14">
        <f>20400-8874+8874</f>
        <v>20400</v>
      </c>
      <c r="L126" s="14">
        <f>30600-20400-1326</f>
        <v>8874</v>
      </c>
      <c r="M126" s="14">
        <f>1326+10200</f>
        <v>11526</v>
      </c>
      <c r="N126" s="14">
        <f>30600-20400</f>
        <v>10200</v>
      </c>
      <c r="O126" s="14">
        <v>10200</v>
      </c>
      <c r="P126" s="14">
        <v>10200</v>
      </c>
      <c r="Q126" s="14">
        <v>10200</v>
      </c>
      <c r="R126" s="14">
        <f>30600-10200-11526</f>
        <v>8874</v>
      </c>
      <c r="S126" s="14">
        <f>20400-10200+11526-10200</f>
        <v>11526</v>
      </c>
      <c r="T126" s="14">
        <f>30600-10200-10200+10200-8874</f>
        <v>11526</v>
      </c>
      <c r="U126" s="100"/>
      <c r="V126" s="15">
        <f t="shared" si="24"/>
        <v>122400</v>
      </c>
    </row>
    <row r="127" spans="1:22" ht="12.75">
      <c r="A127" s="56"/>
      <c r="B127" s="48"/>
      <c r="C127" s="10"/>
      <c r="D127" s="10"/>
      <c r="E127" s="10"/>
      <c r="F127" s="10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00"/>
      <c r="V127" s="15"/>
    </row>
    <row r="128" spans="1:22" ht="12.75">
      <c r="A128" s="56"/>
      <c r="B128" s="25" t="s">
        <v>45</v>
      </c>
      <c r="C128" s="61" t="s">
        <v>19</v>
      </c>
      <c r="D128" s="61"/>
      <c r="E128" s="61"/>
      <c r="F128" s="61"/>
      <c r="G128" s="30"/>
      <c r="H128" s="30">
        <f aca="true" t="shared" si="32" ref="H128:T128">H122+H125</f>
        <v>280900</v>
      </c>
      <c r="I128" s="30">
        <f t="shared" si="32"/>
        <v>0</v>
      </c>
      <c r="J128" s="30">
        <f t="shared" si="32"/>
        <v>8874</v>
      </c>
      <c r="K128" s="30">
        <f t="shared" si="32"/>
        <v>82104</v>
      </c>
      <c r="L128" s="30">
        <f t="shared" si="32"/>
        <v>8874</v>
      </c>
      <c r="M128" s="30">
        <f t="shared" si="32"/>
        <v>70026</v>
      </c>
      <c r="N128" s="30">
        <f t="shared" si="32"/>
        <v>10200</v>
      </c>
      <c r="O128" s="30">
        <f t="shared" si="32"/>
        <v>10200</v>
      </c>
      <c r="P128" s="30">
        <f t="shared" si="32"/>
        <v>10200</v>
      </c>
      <c r="Q128" s="30">
        <f t="shared" si="32"/>
        <v>48496</v>
      </c>
      <c r="R128" s="30">
        <f t="shared" si="32"/>
        <v>8874</v>
      </c>
      <c r="S128" s="30">
        <f t="shared" si="32"/>
        <v>11526</v>
      </c>
      <c r="T128" s="30">
        <f t="shared" si="32"/>
        <v>11526</v>
      </c>
      <c r="U128" s="102"/>
      <c r="V128" s="86">
        <f>SUM(I128:T128)</f>
        <v>280900</v>
      </c>
    </row>
    <row r="129" spans="1:22" ht="12.75">
      <c r="A129" s="56"/>
      <c r="B129" s="23"/>
      <c r="C129" s="16"/>
      <c r="D129" s="16"/>
      <c r="E129" s="16"/>
      <c r="F129" s="16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00"/>
      <c r="V129" s="15">
        <f>SUM(I129:T129)</f>
        <v>0</v>
      </c>
    </row>
    <row r="130" spans="1:22" ht="12.75">
      <c r="A130" s="66"/>
      <c r="B130" s="92" t="s">
        <v>59</v>
      </c>
      <c r="C130" s="44"/>
      <c r="D130" s="44"/>
      <c r="E130" s="44"/>
      <c r="F130" s="44"/>
      <c r="G130" s="49"/>
      <c r="H130" s="42">
        <f aca="true" t="shared" si="33" ref="H130:T130">H120+H128</f>
        <v>290900</v>
      </c>
      <c r="I130" s="42">
        <f t="shared" si="33"/>
        <v>0</v>
      </c>
      <c r="J130" s="42">
        <f t="shared" si="33"/>
        <v>8874</v>
      </c>
      <c r="K130" s="42">
        <f t="shared" si="33"/>
        <v>82104</v>
      </c>
      <c r="L130" s="42">
        <f t="shared" si="33"/>
        <v>8874</v>
      </c>
      <c r="M130" s="42">
        <f t="shared" si="33"/>
        <v>70026</v>
      </c>
      <c r="N130" s="42">
        <f t="shared" si="33"/>
        <v>10200</v>
      </c>
      <c r="O130" s="42">
        <f t="shared" si="33"/>
        <v>10200</v>
      </c>
      <c r="P130" s="42">
        <f t="shared" si="33"/>
        <v>10200</v>
      </c>
      <c r="Q130" s="42">
        <f t="shared" si="33"/>
        <v>48496</v>
      </c>
      <c r="R130" s="42">
        <f t="shared" si="33"/>
        <v>8874</v>
      </c>
      <c r="S130" s="42">
        <f t="shared" si="33"/>
        <v>11526</v>
      </c>
      <c r="T130" s="42">
        <f t="shared" si="33"/>
        <v>21526</v>
      </c>
      <c r="U130" s="104"/>
      <c r="V130" s="50">
        <f>SUM(I130:T130)</f>
        <v>290900</v>
      </c>
    </row>
    <row r="131" spans="1:22" ht="12.75">
      <c r="A131" s="56"/>
      <c r="B131" s="23"/>
      <c r="C131" s="16"/>
      <c r="D131" s="16"/>
      <c r="E131" s="16"/>
      <c r="F131" s="16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00"/>
      <c r="V131" s="15">
        <f>SUM(I131:T131)</f>
        <v>0</v>
      </c>
    </row>
    <row r="132" spans="1:22" ht="89.25">
      <c r="A132" s="62" t="s">
        <v>87</v>
      </c>
      <c r="B132" s="90" t="s">
        <v>119</v>
      </c>
      <c r="C132" s="37" t="s">
        <v>42</v>
      </c>
      <c r="D132" s="37">
        <v>5800000000</v>
      </c>
      <c r="E132" s="36"/>
      <c r="F132" s="36"/>
      <c r="G132" s="37"/>
      <c r="H132" s="13">
        <f aca="true" t="shared" si="34" ref="H132:T132">H134+H137</f>
        <v>19924574.310000002</v>
      </c>
      <c r="I132" s="13">
        <f t="shared" si="34"/>
        <v>180309.35</v>
      </c>
      <c r="J132" s="13">
        <f t="shared" si="34"/>
        <v>238455.32</v>
      </c>
      <c r="K132" s="13">
        <f t="shared" si="34"/>
        <v>397041.98000000004</v>
      </c>
      <c r="L132" s="13">
        <f t="shared" si="34"/>
        <v>2710434.31</v>
      </c>
      <c r="M132" s="13">
        <f t="shared" si="34"/>
        <v>830000</v>
      </c>
      <c r="N132" s="13">
        <f t="shared" si="34"/>
        <v>9472625.18</v>
      </c>
      <c r="O132" s="13">
        <f t="shared" si="34"/>
        <v>980000</v>
      </c>
      <c r="P132" s="13">
        <f t="shared" si="34"/>
        <v>916165.65</v>
      </c>
      <c r="Q132" s="13">
        <f t="shared" si="34"/>
        <v>1480800</v>
      </c>
      <c r="R132" s="13">
        <f t="shared" si="34"/>
        <v>940000</v>
      </c>
      <c r="S132" s="13">
        <f t="shared" si="34"/>
        <v>920000</v>
      </c>
      <c r="T132" s="13">
        <f t="shared" si="34"/>
        <v>858742.52</v>
      </c>
      <c r="U132" s="101"/>
      <c r="V132" s="87">
        <f>V134+V137</f>
        <v>19924574.310000002</v>
      </c>
    </row>
    <row r="133" spans="1:22" ht="12.75">
      <c r="A133" s="56"/>
      <c r="B133" s="67"/>
      <c r="C133" s="12"/>
      <c r="D133" s="12"/>
      <c r="E133" s="12"/>
      <c r="F133" s="12"/>
      <c r="G133" s="31"/>
      <c r="H133" s="3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00"/>
      <c r="V133" s="15"/>
    </row>
    <row r="134" spans="1:22" ht="63.75">
      <c r="A134" s="62" t="s">
        <v>87</v>
      </c>
      <c r="B134" s="90" t="s">
        <v>120</v>
      </c>
      <c r="C134" s="37" t="s">
        <v>42</v>
      </c>
      <c r="D134" s="37">
        <v>5810000000</v>
      </c>
      <c r="E134" s="37"/>
      <c r="F134" s="37"/>
      <c r="G134" s="37"/>
      <c r="H134" s="13">
        <f aca="true" t="shared" si="35" ref="H134:T134">H135</f>
        <v>8032400</v>
      </c>
      <c r="I134" s="13">
        <f t="shared" si="35"/>
        <v>0</v>
      </c>
      <c r="J134" s="13">
        <f t="shared" si="35"/>
        <v>0</v>
      </c>
      <c r="K134" s="13">
        <f t="shared" si="35"/>
        <v>7299.82</v>
      </c>
      <c r="L134" s="13">
        <f t="shared" si="35"/>
        <v>0</v>
      </c>
      <c r="M134" s="13">
        <f t="shared" si="35"/>
        <v>0</v>
      </c>
      <c r="N134" s="13">
        <f t="shared" si="35"/>
        <v>7825100.18</v>
      </c>
      <c r="O134" s="13">
        <f t="shared" si="35"/>
        <v>0</v>
      </c>
      <c r="P134" s="13">
        <f t="shared" si="35"/>
        <v>0</v>
      </c>
      <c r="Q134" s="13">
        <f t="shared" si="35"/>
        <v>200000</v>
      </c>
      <c r="R134" s="13">
        <f t="shared" si="35"/>
        <v>0</v>
      </c>
      <c r="S134" s="13">
        <f t="shared" si="35"/>
        <v>0</v>
      </c>
      <c r="T134" s="13">
        <f t="shared" si="35"/>
        <v>0</v>
      </c>
      <c r="U134" s="101"/>
      <c r="V134" s="87">
        <f>SUM(I134:T134)</f>
        <v>8032400</v>
      </c>
    </row>
    <row r="135" spans="1:22" ht="32.25" customHeight="1">
      <c r="A135" s="56" t="s">
        <v>87</v>
      </c>
      <c r="B135" s="48" t="s">
        <v>157</v>
      </c>
      <c r="C135" s="10" t="s">
        <v>42</v>
      </c>
      <c r="D135" s="78" t="s">
        <v>145</v>
      </c>
      <c r="E135" s="10">
        <v>244</v>
      </c>
      <c r="F135" s="10">
        <v>225</v>
      </c>
      <c r="G135" s="31"/>
      <c r="H135" s="29">
        <f>200000+7832400</f>
        <v>8032400</v>
      </c>
      <c r="I135" s="14">
        <v>0</v>
      </c>
      <c r="J135" s="14">
        <v>0</v>
      </c>
      <c r="K135" s="14">
        <v>7299.82</v>
      </c>
      <c r="L135" s="14">
        <v>0</v>
      </c>
      <c r="M135" s="14">
        <v>0</v>
      </c>
      <c r="N135" s="14">
        <f>7832400-7299.82</f>
        <v>7825100.18</v>
      </c>
      <c r="O135" s="14">
        <v>0</v>
      </c>
      <c r="P135" s="14">
        <v>0</v>
      </c>
      <c r="Q135" s="14">
        <v>200000</v>
      </c>
      <c r="R135" s="14">
        <v>0</v>
      </c>
      <c r="S135" s="14">
        <v>0</v>
      </c>
      <c r="T135" s="14">
        <v>0</v>
      </c>
      <c r="U135" s="100"/>
      <c r="V135" s="15">
        <f>SUM(I135:T135)</f>
        <v>8032400</v>
      </c>
    </row>
    <row r="136" spans="1:22" ht="12.75">
      <c r="A136" s="56"/>
      <c r="B136" s="67"/>
      <c r="C136" s="10"/>
      <c r="D136" s="60"/>
      <c r="E136" s="10"/>
      <c r="F136" s="10"/>
      <c r="G136" s="31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00"/>
      <c r="V136" s="15"/>
    </row>
    <row r="137" spans="1:22" ht="63.75">
      <c r="A137" s="62" t="s">
        <v>87</v>
      </c>
      <c r="B137" s="90" t="s">
        <v>121</v>
      </c>
      <c r="C137" s="37" t="s">
        <v>42</v>
      </c>
      <c r="D137" s="37">
        <v>5820000000</v>
      </c>
      <c r="E137" s="37"/>
      <c r="F137" s="37"/>
      <c r="G137" s="37"/>
      <c r="H137" s="13">
        <f>H138+H140+H139</f>
        <v>11892174.31</v>
      </c>
      <c r="I137" s="13">
        <f aca="true" t="shared" si="36" ref="I137:T137">I138+I140+I139</f>
        <v>180309.35</v>
      </c>
      <c r="J137" s="13">
        <f t="shared" si="36"/>
        <v>238455.32</v>
      </c>
      <c r="K137" s="13">
        <f t="shared" si="36"/>
        <v>389742.16000000003</v>
      </c>
      <c r="L137" s="13">
        <f t="shared" si="36"/>
        <v>2710434.31</v>
      </c>
      <c r="M137" s="13">
        <f t="shared" si="36"/>
        <v>830000</v>
      </c>
      <c r="N137" s="13">
        <f t="shared" si="36"/>
        <v>1647525</v>
      </c>
      <c r="O137" s="13">
        <f t="shared" si="36"/>
        <v>980000</v>
      </c>
      <c r="P137" s="13">
        <f t="shared" si="36"/>
        <v>916165.65</v>
      </c>
      <c r="Q137" s="13">
        <f t="shared" si="36"/>
        <v>1280800</v>
      </c>
      <c r="R137" s="13">
        <f t="shared" si="36"/>
        <v>940000</v>
      </c>
      <c r="S137" s="13">
        <f t="shared" si="36"/>
        <v>920000</v>
      </c>
      <c r="T137" s="13">
        <f t="shared" si="36"/>
        <v>858742.52</v>
      </c>
      <c r="U137" s="101"/>
      <c r="V137" s="87">
        <f>SUM(I137:T137)</f>
        <v>11892174.31</v>
      </c>
    </row>
    <row r="138" spans="1:22" ht="25.5">
      <c r="A138" s="56" t="s">
        <v>87</v>
      </c>
      <c r="B138" s="48" t="s">
        <v>157</v>
      </c>
      <c r="C138" s="10" t="s">
        <v>42</v>
      </c>
      <c r="D138" s="10">
        <v>5820110140</v>
      </c>
      <c r="E138" s="10">
        <v>244</v>
      </c>
      <c r="F138" s="10">
        <v>225</v>
      </c>
      <c r="G138" s="31"/>
      <c r="H138" s="29">
        <f>7812000+1885474.31</f>
        <v>9697474.31</v>
      </c>
      <c r="I138" s="14">
        <f>560000-551225</f>
        <v>8775</v>
      </c>
      <c r="J138" s="14">
        <f>530000-468500</f>
        <v>61500</v>
      </c>
      <c r="K138" s="14">
        <f>208000+12040</f>
        <v>220040</v>
      </c>
      <c r="L138" s="14">
        <f>600000+1885474.31-12040</f>
        <v>2473434.31</v>
      </c>
      <c r="M138" s="14">
        <v>650000</v>
      </c>
      <c r="N138" s="14">
        <f>921300+551225</f>
        <v>1472525</v>
      </c>
      <c r="O138" s="14">
        <v>830000</v>
      </c>
      <c r="P138" s="14">
        <v>750000</v>
      </c>
      <c r="Q138" s="14">
        <f>591300+468500</f>
        <v>1059800</v>
      </c>
      <c r="R138" s="14">
        <v>790000</v>
      </c>
      <c r="S138" s="14">
        <v>770000</v>
      </c>
      <c r="T138" s="14">
        <v>611400</v>
      </c>
      <c r="U138" s="100"/>
      <c r="V138" s="15">
        <f>SUM(I138:T138)</f>
        <v>9697474.31</v>
      </c>
    </row>
    <row r="139" spans="1:22" ht="25.5">
      <c r="A139" s="56" t="s">
        <v>87</v>
      </c>
      <c r="B139" s="48" t="s">
        <v>157</v>
      </c>
      <c r="C139" s="10" t="s">
        <v>42</v>
      </c>
      <c r="D139" s="10">
        <v>5820110140</v>
      </c>
      <c r="E139" s="10">
        <v>245</v>
      </c>
      <c r="F139" s="10"/>
      <c r="G139" s="31"/>
      <c r="H139" s="29">
        <v>16700</v>
      </c>
      <c r="I139" s="14">
        <v>16700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00"/>
      <c r="V139" s="15">
        <f>SUM(I139:T139)</f>
        <v>16700</v>
      </c>
    </row>
    <row r="140" spans="1:22" ht="25.5">
      <c r="A140" s="56" t="s">
        <v>87</v>
      </c>
      <c r="B140" s="110" t="s">
        <v>168</v>
      </c>
      <c r="C140" s="10" t="s">
        <v>42</v>
      </c>
      <c r="D140" s="10">
        <v>5820110140</v>
      </c>
      <c r="E140" s="10">
        <v>247</v>
      </c>
      <c r="F140" s="10">
        <v>223</v>
      </c>
      <c r="G140" s="31"/>
      <c r="H140" s="14">
        <v>2178000</v>
      </c>
      <c r="I140" s="14">
        <f>100000+54834.35</f>
        <v>154834.35</v>
      </c>
      <c r="J140" s="14">
        <f>192000-15044.68</f>
        <v>176955.32</v>
      </c>
      <c r="K140" s="14">
        <f>110000+15044.68+44657.48</f>
        <v>169702.16</v>
      </c>
      <c r="L140" s="14">
        <v>237000</v>
      </c>
      <c r="M140" s="14">
        <v>180000</v>
      </c>
      <c r="N140" s="14">
        <v>175000</v>
      </c>
      <c r="O140" s="14">
        <v>150000</v>
      </c>
      <c r="P140" s="14">
        <f>221000-54834.35</f>
        <v>166165.65</v>
      </c>
      <c r="Q140" s="14">
        <v>221000</v>
      </c>
      <c r="R140" s="14">
        <v>150000</v>
      </c>
      <c r="S140" s="14">
        <v>150000</v>
      </c>
      <c r="T140" s="14">
        <f>292000-44657.48</f>
        <v>247342.52</v>
      </c>
      <c r="U140" s="100"/>
      <c r="V140" s="15">
        <f>SUM(I140:T140)</f>
        <v>2178000</v>
      </c>
    </row>
    <row r="141" spans="1:22" ht="12.75">
      <c r="A141" s="56"/>
      <c r="B141" s="23"/>
      <c r="C141" s="10"/>
      <c r="D141" s="10"/>
      <c r="E141" s="10"/>
      <c r="F141" s="10"/>
      <c r="G141" s="31"/>
      <c r="H141" s="3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00"/>
      <c r="V141" s="15"/>
    </row>
    <row r="142" spans="1:22" ht="12.75">
      <c r="A142" s="56"/>
      <c r="B142" s="25" t="s">
        <v>45</v>
      </c>
      <c r="C142" s="25" t="s">
        <v>42</v>
      </c>
      <c r="D142" s="12"/>
      <c r="E142" s="12"/>
      <c r="F142" s="12"/>
      <c r="G142" s="31"/>
      <c r="H142" s="30">
        <f aca="true" t="shared" si="37" ref="H142:T142">H132</f>
        <v>19924574.310000002</v>
      </c>
      <c r="I142" s="30">
        <f t="shared" si="37"/>
        <v>180309.35</v>
      </c>
      <c r="J142" s="30">
        <f t="shared" si="37"/>
        <v>238455.32</v>
      </c>
      <c r="K142" s="30">
        <f t="shared" si="37"/>
        <v>397041.98000000004</v>
      </c>
      <c r="L142" s="30">
        <f t="shared" si="37"/>
        <v>2710434.31</v>
      </c>
      <c r="M142" s="30">
        <f t="shared" si="37"/>
        <v>830000</v>
      </c>
      <c r="N142" s="30">
        <f t="shared" si="37"/>
        <v>9472625.18</v>
      </c>
      <c r="O142" s="30">
        <f t="shared" si="37"/>
        <v>980000</v>
      </c>
      <c r="P142" s="30">
        <f t="shared" si="37"/>
        <v>916165.65</v>
      </c>
      <c r="Q142" s="30">
        <f t="shared" si="37"/>
        <v>1480800</v>
      </c>
      <c r="R142" s="30">
        <f t="shared" si="37"/>
        <v>940000</v>
      </c>
      <c r="S142" s="30">
        <f t="shared" si="37"/>
        <v>920000</v>
      </c>
      <c r="T142" s="30">
        <f t="shared" si="37"/>
        <v>858742.52</v>
      </c>
      <c r="U142" s="102"/>
      <c r="V142" s="47">
        <f>SUM(I142:T142)</f>
        <v>19924574.31</v>
      </c>
    </row>
    <row r="143" spans="1:22" ht="12.75">
      <c r="A143" s="56"/>
      <c r="B143" s="67"/>
      <c r="C143" s="12"/>
      <c r="D143" s="12"/>
      <c r="E143" s="12"/>
      <c r="F143" s="12"/>
      <c r="G143" s="31"/>
      <c r="H143" s="3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00"/>
      <c r="V143" s="15"/>
    </row>
    <row r="144" spans="1:22" ht="63.75">
      <c r="A144" s="62" t="s">
        <v>87</v>
      </c>
      <c r="B144" s="90" t="s">
        <v>122</v>
      </c>
      <c r="C144" s="37" t="s">
        <v>20</v>
      </c>
      <c r="D144" s="37">
        <v>5900000000</v>
      </c>
      <c r="E144" s="37"/>
      <c r="F144" s="37"/>
      <c r="G144" s="37"/>
      <c r="H144" s="13">
        <f aca="true" t="shared" si="38" ref="H144:T144">H145</f>
        <v>99780</v>
      </c>
      <c r="I144" s="13">
        <f t="shared" si="38"/>
        <v>9500</v>
      </c>
      <c r="J144" s="13">
        <f t="shared" si="38"/>
        <v>0</v>
      </c>
      <c r="K144" s="13">
        <f t="shared" si="38"/>
        <v>9500</v>
      </c>
      <c r="L144" s="13">
        <f t="shared" si="38"/>
        <v>0</v>
      </c>
      <c r="M144" s="13">
        <f t="shared" si="38"/>
        <v>0</v>
      </c>
      <c r="N144" s="13">
        <f t="shared" si="38"/>
        <v>0</v>
      </c>
      <c r="O144" s="13">
        <f t="shared" si="38"/>
        <v>0</v>
      </c>
      <c r="P144" s="13">
        <f t="shared" si="38"/>
        <v>0</v>
      </c>
      <c r="Q144" s="13">
        <f t="shared" si="38"/>
        <v>0</v>
      </c>
      <c r="R144" s="13">
        <f t="shared" si="38"/>
        <v>0</v>
      </c>
      <c r="S144" s="13">
        <f t="shared" si="38"/>
        <v>0</v>
      </c>
      <c r="T144" s="13">
        <f t="shared" si="38"/>
        <v>80780</v>
      </c>
      <c r="U144" s="101"/>
      <c r="V144" s="18">
        <f aca="true" t="shared" si="39" ref="V144:V163">SUM(I144:T144)</f>
        <v>99780</v>
      </c>
    </row>
    <row r="145" spans="1:22" ht="25.5">
      <c r="A145" s="56" t="s">
        <v>87</v>
      </c>
      <c r="B145" s="48" t="s">
        <v>157</v>
      </c>
      <c r="C145" s="10" t="s">
        <v>20</v>
      </c>
      <c r="D145" s="10">
        <v>5910110160</v>
      </c>
      <c r="E145" s="10">
        <v>244</v>
      </c>
      <c r="F145" s="10">
        <v>226</v>
      </c>
      <c r="G145" s="31"/>
      <c r="H145" s="14">
        <f>100046-266</f>
        <v>99780</v>
      </c>
      <c r="I145" s="14">
        <v>9500</v>
      </c>
      <c r="J145" s="14">
        <v>0</v>
      </c>
      <c r="K145" s="14">
        <v>9500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f>100046-9500-266-9500</f>
        <v>80780</v>
      </c>
      <c r="U145" s="100"/>
      <c r="V145" s="15">
        <f t="shared" si="39"/>
        <v>99780</v>
      </c>
    </row>
    <row r="146" spans="1:22" ht="12.75">
      <c r="A146" s="56"/>
      <c r="B146" s="67"/>
      <c r="C146" s="12"/>
      <c r="D146" s="12"/>
      <c r="E146" s="12"/>
      <c r="F146" s="12"/>
      <c r="G146" s="31"/>
      <c r="H146" s="3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00"/>
      <c r="V146" s="15">
        <f t="shared" si="39"/>
        <v>0</v>
      </c>
    </row>
    <row r="147" spans="1:22" ht="136.5" customHeight="1">
      <c r="A147" s="62" t="s">
        <v>87</v>
      </c>
      <c r="B147" s="90" t="s">
        <v>193</v>
      </c>
      <c r="C147" s="37" t="s">
        <v>20</v>
      </c>
      <c r="D147" s="37">
        <v>6000000000</v>
      </c>
      <c r="E147" s="37"/>
      <c r="F147" s="37"/>
      <c r="G147" s="37"/>
      <c r="H147" s="13">
        <f aca="true" t="shared" si="40" ref="H147:T147">H148</f>
        <v>20000</v>
      </c>
      <c r="I147" s="13">
        <f t="shared" si="40"/>
        <v>0</v>
      </c>
      <c r="J147" s="13">
        <f t="shared" si="40"/>
        <v>0</v>
      </c>
      <c r="K147" s="13">
        <f t="shared" si="40"/>
        <v>0</v>
      </c>
      <c r="L147" s="13">
        <f t="shared" si="40"/>
        <v>0</v>
      </c>
      <c r="M147" s="13">
        <f t="shared" si="40"/>
        <v>0</v>
      </c>
      <c r="N147" s="13">
        <f t="shared" si="40"/>
        <v>0</v>
      </c>
      <c r="O147" s="13">
        <f t="shared" si="40"/>
        <v>0</v>
      </c>
      <c r="P147" s="13">
        <f t="shared" si="40"/>
        <v>0</v>
      </c>
      <c r="Q147" s="13">
        <f t="shared" si="40"/>
        <v>0</v>
      </c>
      <c r="R147" s="13">
        <f t="shared" si="40"/>
        <v>0</v>
      </c>
      <c r="S147" s="13">
        <f t="shared" si="40"/>
        <v>20000</v>
      </c>
      <c r="T147" s="13">
        <f t="shared" si="40"/>
        <v>0</v>
      </c>
      <c r="U147" s="101"/>
      <c r="V147" s="87">
        <f t="shared" si="39"/>
        <v>20000</v>
      </c>
    </row>
    <row r="148" spans="1:22" ht="38.25">
      <c r="A148" s="56" t="s">
        <v>87</v>
      </c>
      <c r="B148" s="48" t="s">
        <v>158</v>
      </c>
      <c r="C148" s="10" t="s">
        <v>20</v>
      </c>
      <c r="D148" s="10">
        <v>6010110170</v>
      </c>
      <c r="E148" s="10">
        <v>244</v>
      </c>
      <c r="F148" s="10">
        <v>340</v>
      </c>
      <c r="G148" s="10"/>
      <c r="H148" s="14">
        <v>20000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20000</v>
      </c>
      <c r="T148" s="14">
        <v>0</v>
      </c>
      <c r="U148" s="100"/>
      <c r="V148" s="15">
        <f t="shared" si="39"/>
        <v>20000</v>
      </c>
    </row>
    <row r="149" spans="1:22" ht="12.75">
      <c r="A149" s="56"/>
      <c r="B149" s="63"/>
      <c r="C149" s="16"/>
      <c r="D149" s="16"/>
      <c r="E149" s="16"/>
      <c r="F149" s="16"/>
      <c r="G149" s="10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00"/>
      <c r="V149" s="15">
        <f t="shared" si="39"/>
        <v>0</v>
      </c>
    </row>
    <row r="150" spans="1:22" ht="96.75" customHeight="1">
      <c r="A150" s="57" t="s">
        <v>87</v>
      </c>
      <c r="B150" s="90" t="s">
        <v>203</v>
      </c>
      <c r="C150" s="37" t="s">
        <v>20</v>
      </c>
      <c r="D150" s="37">
        <v>8710000460</v>
      </c>
      <c r="E150" s="37">
        <v>540</v>
      </c>
      <c r="F150" s="36"/>
      <c r="G150" s="37"/>
      <c r="H150" s="13">
        <v>354</v>
      </c>
      <c r="I150" s="13">
        <v>0</v>
      </c>
      <c r="J150" s="13">
        <v>354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01"/>
      <c r="V150" s="15">
        <f t="shared" si="39"/>
        <v>354</v>
      </c>
    </row>
    <row r="151" spans="1:22" ht="15" customHeight="1">
      <c r="A151" s="60"/>
      <c r="B151" s="67"/>
      <c r="C151" s="31"/>
      <c r="D151" s="31"/>
      <c r="E151" s="31"/>
      <c r="F151" s="12"/>
      <c r="G151" s="31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101"/>
      <c r="V151" s="15"/>
    </row>
    <row r="152" spans="1:22" ht="102.75" customHeight="1">
      <c r="A152" s="57" t="s">
        <v>87</v>
      </c>
      <c r="B152" s="90" t="s">
        <v>235</v>
      </c>
      <c r="C152" s="37" t="s">
        <v>20</v>
      </c>
      <c r="D152" s="37">
        <v>8910000470</v>
      </c>
      <c r="E152" s="37">
        <v>540</v>
      </c>
      <c r="F152" s="36"/>
      <c r="G152" s="37"/>
      <c r="H152" s="13">
        <v>266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266</v>
      </c>
      <c r="U152" s="101"/>
      <c r="V152" s="15">
        <f>I152+J152+K152+L152+M152+N152+O152+P152+Q152+R152+S152+T152</f>
        <v>266</v>
      </c>
    </row>
    <row r="153" spans="1:22" ht="12.75">
      <c r="A153" s="56"/>
      <c r="B153" s="25"/>
      <c r="C153" s="26"/>
      <c r="D153" s="12"/>
      <c r="E153" s="12"/>
      <c r="F153" s="12"/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102"/>
      <c r="V153" s="15">
        <f t="shared" si="39"/>
        <v>0</v>
      </c>
    </row>
    <row r="154" spans="1:22" ht="12.75" hidden="1">
      <c r="A154" s="56"/>
      <c r="B154" s="25"/>
      <c r="C154" s="26"/>
      <c r="D154" s="12"/>
      <c r="E154" s="12"/>
      <c r="F154" s="12"/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102"/>
      <c r="V154" s="15"/>
    </row>
    <row r="155" spans="1:22" ht="12.75" hidden="1">
      <c r="A155" s="56"/>
      <c r="B155" s="25"/>
      <c r="C155" s="26"/>
      <c r="D155" s="12"/>
      <c r="E155" s="12"/>
      <c r="F155" s="12"/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102"/>
      <c r="V155" s="15">
        <f t="shared" si="39"/>
        <v>0</v>
      </c>
    </row>
    <row r="156" spans="1:22" ht="12.75">
      <c r="A156" s="56"/>
      <c r="B156" s="25" t="s">
        <v>45</v>
      </c>
      <c r="C156" s="25" t="s">
        <v>20</v>
      </c>
      <c r="D156" s="12"/>
      <c r="E156" s="12"/>
      <c r="F156" s="12"/>
      <c r="G156" s="31"/>
      <c r="H156" s="30">
        <f>H147+H144+H150+H152</f>
        <v>120400</v>
      </c>
      <c r="I156" s="30">
        <f aca="true" t="shared" si="41" ref="I156:T156">I147+I144+I150+I152</f>
        <v>9500</v>
      </c>
      <c r="J156" s="30">
        <f t="shared" si="41"/>
        <v>354</v>
      </c>
      <c r="K156" s="30">
        <f t="shared" si="41"/>
        <v>9500</v>
      </c>
      <c r="L156" s="30">
        <f t="shared" si="41"/>
        <v>0</v>
      </c>
      <c r="M156" s="30">
        <f t="shared" si="41"/>
        <v>0</v>
      </c>
      <c r="N156" s="30">
        <f t="shared" si="41"/>
        <v>0</v>
      </c>
      <c r="O156" s="30">
        <f t="shared" si="41"/>
        <v>0</v>
      </c>
      <c r="P156" s="30">
        <f t="shared" si="41"/>
        <v>0</v>
      </c>
      <c r="Q156" s="30">
        <f t="shared" si="41"/>
        <v>0</v>
      </c>
      <c r="R156" s="30">
        <f t="shared" si="41"/>
        <v>0</v>
      </c>
      <c r="S156" s="30">
        <f t="shared" si="41"/>
        <v>20000</v>
      </c>
      <c r="T156" s="30">
        <f t="shared" si="41"/>
        <v>81046</v>
      </c>
      <c r="U156" s="102"/>
      <c r="V156" s="47">
        <f t="shared" si="39"/>
        <v>120400</v>
      </c>
    </row>
    <row r="157" spans="1:22" ht="12.75">
      <c r="A157" s="56"/>
      <c r="B157" s="67"/>
      <c r="C157" s="12"/>
      <c r="D157" s="12"/>
      <c r="E157" s="12"/>
      <c r="F157" s="12"/>
      <c r="G157" s="31"/>
      <c r="H157" s="3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00"/>
      <c r="V157" s="15">
        <f t="shared" si="39"/>
        <v>0</v>
      </c>
    </row>
    <row r="158" spans="1:22" ht="12.75">
      <c r="A158" s="66"/>
      <c r="B158" s="92" t="s">
        <v>61</v>
      </c>
      <c r="C158" s="68"/>
      <c r="D158" s="68"/>
      <c r="E158" s="68"/>
      <c r="F158" s="68"/>
      <c r="G158" s="69"/>
      <c r="H158" s="42">
        <f aca="true" t="shared" si="42" ref="H158:T158">H156+H142</f>
        <v>20044974.310000002</v>
      </c>
      <c r="I158" s="42">
        <f t="shared" si="42"/>
        <v>189809.35</v>
      </c>
      <c r="J158" s="42">
        <f t="shared" si="42"/>
        <v>238809.32</v>
      </c>
      <c r="K158" s="42">
        <f t="shared" si="42"/>
        <v>406541.98000000004</v>
      </c>
      <c r="L158" s="42">
        <f t="shared" si="42"/>
        <v>2710434.31</v>
      </c>
      <c r="M158" s="42">
        <f t="shared" si="42"/>
        <v>830000</v>
      </c>
      <c r="N158" s="42">
        <f t="shared" si="42"/>
        <v>9472625.18</v>
      </c>
      <c r="O158" s="42">
        <f t="shared" si="42"/>
        <v>980000</v>
      </c>
      <c r="P158" s="42">
        <f t="shared" si="42"/>
        <v>916165.65</v>
      </c>
      <c r="Q158" s="42">
        <f t="shared" si="42"/>
        <v>1480800</v>
      </c>
      <c r="R158" s="42">
        <f t="shared" si="42"/>
        <v>940000</v>
      </c>
      <c r="S158" s="42">
        <f t="shared" si="42"/>
        <v>940000</v>
      </c>
      <c r="T158" s="42">
        <f t="shared" si="42"/>
        <v>939788.52</v>
      </c>
      <c r="U158" s="104"/>
      <c r="V158" s="50">
        <f t="shared" si="39"/>
        <v>20044974.31</v>
      </c>
    </row>
    <row r="159" spans="1:22" ht="12.75">
      <c r="A159" s="60"/>
      <c r="B159" s="43"/>
      <c r="C159" s="12"/>
      <c r="D159" s="12"/>
      <c r="E159" s="12"/>
      <c r="F159" s="12"/>
      <c r="G159" s="31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104"/>
      <c r="V159" s="15">
        <f t="shared" si="39"/>
        <v>0</v>
      </c>
    </row>
    <row r="160" spans="1:22" ht="69" customHeight="1">
      <c r="A160" s="62" t="s">
        <v>87</v>
      </c>
      <c r="B160" s="90" t="s">
        <v>123</v>
      </c>
      <c r="C160" s="37" t="s">
        <v>21</v>
      </c>
      <c r="D160" s="37">
        <v>6100000000</v>
      </c>
      <c r="E160" s="36"/>
      <c r="F160" s="36"/>
      <c r="G160" s="37"/>
      <c r="H160" s="13">
        <f aca="true" t="shared" si="43" ref="H160:T160">H162+H167+H164</f>
        <v>220000</v>
      </c>
      <c r="I160" s="13">
        <f t="shared" si="43"/>
        <v>0</v>
      </c>
      <c r="J160" s="13">
        <f t="shared" si="43"/>
        <v>19500</v>
      </c>
      <c r="K160" s="13">
        <f t="shared" si="43"/>
        <v>45500</v>
      </c>
      <c r="L160" s="13">
        <f t="shared" si="43"/>
        <v>0</v>
      </c>
      <c r="M160" s="13">
        <f t="shared" si="43"/>
        <v>0</v>
      </c>
      <c r="N160" s="13">
        <f t="shared" si="43"/>
        <v>0</v>
      </c>
      <c r="O160" s="13">
        <f t="shared" si="43"/>
        <v>50000</v>
      </c>
      <c r="P160" s="13">
        <f t="shared" si="43"/>
        <v>50000</v>
      </c>
      <c r="Q160" s="13">
        <f t="shared" si="43"/>
        <v>33300</v>
      </c>
      <c r="R160" s="13">
        <f t="shared" si="43"/>
        <v>0</v>
      </c>
      <c r="S160" s="13">
        <f t="shared" si="43"/>
        <v>10000</v>
      </c>
      <c r="T160" s="13">
        <f t="shared" si="43"/>
        <v>11700</v>
      </c>
      <c r="U160" s="101"/>
      <c r="V160" s="87">
        <f t="shared" si="39"/>
        <v>220000</v>
      </c>
    </row>
    <row r="161" spans="1:22" ht="13.5" customHeight="1">
      <c r="A161" s="65"/>
      <c r="B161" s="67"/>
      <c r="C161" s="12"/>
      <c r="D161" s="12"/>
      <c r="E161" s="12"/>
      <c r="F161" s="12"/>
      <c r="G161" s="31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101"/>
      <c r="V161" s="15">
        <f t="shared" si="39"/>
        <v>0</v>
      </c>
    </row>
    <row r="162" spans="1:22" ht="76.5" customHeight="1">
      <c r="A162" s="62" t="s">
        <v>87</v>
      </c>
      <c r="B162" s="90" t="s">
        <v>124</v>
      </c>
      <c r="C162" s="37" t="s">
        <v>21</v>
      </c>
      <c r="D162" s="37">
        <v>6110000000</v>
      </c>
      <c r="E162" s="37"/>
      <c r="F162" s="37"/>
      <c r="G162" s="37"/>
      <c r="H162" s="13">
        <f aca="true" t="shared" si="44" ref="H162:T162">H163</f>
        <v>10000</v>
      </c>
      <c r="I162" s="13">
        <f t="shared" si="44"/>
        <v>0</v>
      </c>
      <c r="J162" s="13">
        <f t="shared" si="44"/>
        <v>0</v>
      </c>
      <c r="K162" s="13">
        <f t="shared" si="44"/>
        <v>0</v>
      </c>
      <c r="L162" s="13">
        <f t="shared" si="44"/>
        <v>0</v>
      </c>
      <c r="M162" s="13">
        <f t="shared" si="44"/>
        <v>0</v>
      </c>
      <c r="N162" s="13">
        <f t="shared" si="44"/>
        <v>0</v>
      </c>
      <c r="O162" s="13">
        <f t="shared" si="44"/>
        <v>0</v>
      </c>
      <c r="P162" s="13">
        <f t="shared" si="44"/>
        <v>0</v>
      </c>
      <c r="Q162" s="13">
        <f t="shared" si="44"/>
        <v>10000</v>
      </c>
      <c r="R162" s="13">
        <f t="shared" si="44"/>
        <v>0</v>
      </c>
      <c r="S162" s="13">
        <f t="shared" si="44"/>
        <v>0</v>
      </c>
      <c r="T162" s="13">
        <f t="shared" si="44"/>
        <v>0</v>
      </c>
      <c r="U162" s="101"/>
      <c r="V162" s="87">
        <f t="shared" si="39"/>
        <v>10000</v>
      </c>
    </row>
    <row r="163" spans="1:22" ht="25.5">
      <c r="A163" s="56" t="s">
        <v>87</v>
      </c>
      <c r="B163" s="48" t="s">
        <v>157</v>
      </c>
      <c r="C163" s="10" t="s">
        <v>21</v>
      </c>
      <c r="D163" s="10">
        <v>6110110200</v>
      </c>
      <c r="E163" s="10">
        <v>244</v>
      </c>
      <c r="F163" s="10">
        <v>225</v>
      </c>
      <c r="G163" s="31"/>
      <c r="H163" s="14">
        <v>10000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10000</v>
      </c>
      <c r="R163" s="14">
        <v>0</v>
      </c>
      <c r="S163" s="14">
        <v>0</v>
      </c>
      <c r="T163" s="14">
        <v>0</v>
      </c>
      <c r="U163" s="100"/>
      <c r="V163" s="15">
        <f t="shared" si="39"/>
        <v>10000</v>
      </c>
    </row>
    <row r="164" spans="1:22" s="3" customFormat="1" ht="141" customHeight="1">
      <c r="A164" s="62" t="s">
        <v>87</v>
      </c>
      <c r="B164" s="90" t="s">
        <v>125</v>
      </c>
      <c r="C164" s="37" t="s">
        <v>21</v>
      </c>
      <c r="D164" s="37">
        <v>6120000000</v>
      </c>
      <c r="E164" s="37"/>
      <c r="F164" s="37"/>
      <c r="G164" s="37"/>
      <c r="H164" s="13">
        <f aca="true" t="shared" si="45" ref="H164:T164">H165</f>
        <v>21700</v>
      </c>
      <c r="I164" s="13">
        <f t="shared" si="45"/>
        <v>0</v>
      </c>
      <c r="J164" s="13">
        <f t="shared" si="45"/>
        <v>0</v>
      </c>
      <c r="K164" s="13">
        <f t="shared" si="45"/>
        <v>0</v>
      </c>
      <c r="L164" s="13">
        <f t="shared" si="45"/>
        <v>0</v>
      </c>
      <c r="M164" s="13">
        <f t="shared" si="45"/>
        <v>0</v>
      </c>
      <c r="N164" s="13">
        <f t="shared" si="45"/>
        <v>0</v>
      </c>
      <c r="O164" s="13">
        <f t="shared" si="45"/>
        <v>0</v>
      </c>
      <c r="P164" s="13">
        <f t="shared" si="45"/>
        <v>0</v>
      </c>
      <c r="Q164" s="13">
        <f t="shared" si="45"/>
        <v>0</v>
      </c>
      <c r="R164" s="13">
        <f t="shared" si="45"/>
        <v>0</v>
      </c>
      <c r="S164" s="13">
        <f t="shared" si="45"/>
        <v>10000</v>
      </c>
      <c r="T164" s="13">
        <f t="shared" si="45"/>
        <v>11700</v>
      </c>
      <c r="U164" s="101"/>
      <c r="V164" s="87">
        <f>V165</f>
        <v>21700</v>
      </c>
    </row>
    <row r="165" spans="1:22" ht="51">
      <c r="A165" s="56" t="s">
        <v>87</v>
      </c>
      <c r="B165" s="48" t="s">
        <v>175</v>
      </c>
      <c r="C165" s="10" t="s">
        <v>21</v>
      </c>
      <c r="D165" s="10">
        <v>6120110210</v>
      </c>
      <c r="E165" s="10">
        <v>244</v>
      </c>
      <c r="F165" s="10">
        <v>310</v>
      </c>
      <c r="G165" s="31"/>
      <c r="H165" s="14">
        <f>10000+11700</f>
        <v>21700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10000</v>
      </c>
      <c r="T165" s="14">
        <v>11700</v>
      </c>
      <c r="U165" s="100"/>
      <c r="V165" s="15">
        <f>SUM(I165:T165)</f>
        <v>21700</v>
      </c>
    </row>
    <row r="166" spans="1:22" ht="12.75">
      <c r="A166" s="56"/>
      <c r="B166" s="63"/>
      <c r="C166" s="10"/>
      <c r="D166" s="10"/>
      <c r="E166" s="10"/>
      <c r="F166" s="10"/>
      <c r="G166" s="31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00"/>
      <c r="V166" s="15"/>
    </row>
    <row r="167" spans="1:22" ht="63.75">
      <c r="A167" s="62" t="s">
        <v>87</v>
      </c>
      <c r="B167" s="90" t="s">
        <v>139</v>
      </c>
      <c r="C167" s="37" t="s">
        <v>21</v>
      </c>
      <c r="D167" s="37">
        <v>6200000000</v>
      </c>
      <c r="E167" s="37"/>
      <c r="F167" s="37"/>
      <c r="G167" s="37"/>
      <c r="H167" s="13">
        <f aca="true" t="shared" si="46" ref="H167:T167">H168+H169</f>
        <v>188300</v>
      </c>
      <c r="I167" s="13">
        <f t="shared" si="46"/>
        <v>0</v>
      </c>
      <c r="J167" s="13">
        <f t="shared" si="46"/>
        <v>19500</v>
      </c>
      <c r="K167" s="13">
        <f t="shared" si="46"/>
        <v>45500</v>
      </c>
      <c r="L167" s="13">
        <f t="shared" si="46"/>
        <v>0</v>
      </c>
      <c r="M167" s="13">
        <f t="shared" si="46"/>
        <v>0</v>
      </c>
      <c r="N167" s="13">
        <f t="shared" si="46"/>
        <v>0</v>
      </c>
      <c r="O167" s="13">
        <f t="shared" si="46"/>
        <v>50000</v>
      </c>
      <c r="P167" s="13">
        <f t="shared" si="46"/>
        <v>50000</v>
      </c>
      <c r="Q167" s="13">
        <f t="shared" si="46"/>
        <v>23300</v>
      </c>
      <c r="R167" s="13">
        <f t="shared" si="46"/>
        <v>0</v>
      </c>
      <c r="S167" s="13">
        <f t="shared" si="46"/>
        <v>0</v>
      </c>
      <c r="T167" s="13">
        <f t="shared" si="46"/>
        <v>0</v>
      </c>
      <c r="U167" s="101"/>
      <c r="V167" s="87">
        <f>SUM(I167:T167)</f>
        <v>188300</v>
      </c>
    </row>
    <row r="168" spans="1:22" ht="25.5">
      <c r="A168" s="56" t="s">
        <v>87</v>
      </c>
      <c r="B168" s="48" t="s">
        <v>157</v>
      </c>
      <c r="C168" s="10" t="s">
        <v>21</v>
      </c>
      <c r="D168" s="10">
        <v>6210110230</v>
      </c>
      <c r="E168" s="10">
        <v>244</v>
      </c>
      <c r="F168" s="10">
        <v>310</v>
      </c>
      <c r="G168" s="31"/>
      <c r="H168" s="14">
        <f>200000-11700</f>
        <v>188300</v>
      </c>
      <c r="I168" s="14">
        <v>0</v>
      </c>
      <c r="J168" s="14">
        <v>19500</v>
      </c>
      <c r="K168" s="14">
        <v>45500</v>
      </c>
      <c r="L168" s="14">
        <v>0</v>
      </c>
      <c r="M168" s="14">
        <v>0</v>
      </c>
      <c r="N168" s="14">
        <v>0</v>
      </c>
      <c r="O168" s="14">
        <v>50000</v>
      </c>
      <c r="P168" s="14">
        <v>50000</v>
      </c>
      <c r="Q168" s="14">
        <f>100000-11700-19500-45500</f>
        <v>23300</v>
      </c>
      <c r="R168" s="14">
        <v>0</v>
      </c>
      <c r="S168" s="14">
        <v>0</v>
      </c>
      <c r="T168" s="14">
        <v>0</v>
      </c>
      <c r="U168" s="100"/>
      <c r="V168" s="15">
        <f>SUM(I168:T168)</f>
        <v>188300</v>
      </c>
    </row>
    <row r="169" spans="1:22" ht="76.5" hidden="1">
      <c r="A169" s="56" t="s">
        <v>87</v>
      </c>
      <c r="B169" s="48" t="s">
        <v>198</v>
      </c>
      <c r="C169" s="10" t="s">
        <v>21</v>
      </c>
      <c r="D169" s="10">
        <v>6210110230</v>
      </c>
      <c r="E169" s="10">
        <v>245</v>
      </c>
      <c r="F169" s="10">
        <v>226</v>
      </c>
      <c r="G169" s="31"/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00"/>
      <c r="V169" s="15">
        <f>SUM(I169:T169)</f>
        <v>0</v>
      </c>
    </row>
    <row r="170" spans="1:22" ht="12.75">
      <c r="A170" s="56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103"/>
      <c r="V170" s="22"/>
    </row>
    <row r="171" spans="1:22" ht="12.75">
      <c r="A171" s="60"/>
      <c r="B171" s="25" t="s">
        <v>45</v>
      </c>
      <c r="C171" s="25" t="s">
        <v>21</v>
      </c>
      <c r="D171" s="12"/>
      <c r="E171" s="12"/>
      <c r="F171" s="12"/>
      <c r="G171" s="31"/>
      <c r="H171" s="30">
        <f aca="true" t="shared" si="47" ref="H171:T171">H165+H167+H162</f>
        <v>220000</v>
      </c>
      <c r="I171" s="30">
        <f t="shared" si="47"/>
        <v>0</v>
      </c>
      <c r="J171" s="30">
        <f t="shared" si="47"/>
        <v>19500</v>
      </c>
      <c r="K171" s="30">
        <f t="shared" si="47"/>
        <v>45500</v>
      </c>
      <c r="L171" s="30">
        <f t="shared" si="47"/>
        <v>0</v>
      </c>
      <c r="M171" s="30">
        <f t="shared" si="47"/>
        <v>0</v>
      </c>
      <c r="N171" s="30">
        <f t="shared" si="47"/>
        <v>0</v>
      </c>
      <c r="O171" s="30">
        <f t="shared" si="47"/>
        <v>50000</v>
      </c>
      <c r="P171" s="30">
        <f t="shared" si="47"/>
        <v>50000</v>
      </c>
      <c r="Q171" s="30">
        <f t="shared" si="47"/>
        <v>33300</v>
      </c>
      <c r="R171" s="30">
        <f t="shared" si="47"/>
        <v>0</v>
      </c>
      <c r="S171" s="30">
        <f t="shared" si="47"/>
        <v>10000</v>
      </c>
      <c r="T171" s="30">
        <f t="shared" si="47"/>
        <v>11700</v>
      </c>
      <c r="U171" s="102"/>
      <c r="V171" s="47">
        <f>SUM(I171:T171)</f>
        <v>220000</v>
      </c>
    </row>
    <row r="172" spans="1:22" ht="12.75">
      <c r="A172" s="60"/>
      <c r="B172" s="25"/>
      <c r="C172" s="11"/>
      <c r="D172" s="12"/>
      <c r="E172" s="12"/>
      <c r="F172" s="12"/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97"/>
      <c r="V172" s="47"/>
    </row>
    <row r="173" spans="1:22" ht="63.75">
      <c r="A173" s="62" t="s">
        <v>87</v>
      </c>
      <c r="B173" s="93" t="s">
        <v>146</v>
      </c>
      <c r="C173" s="37" t="s">
        <v>22</v>
      </c>
      <c r="D173" s="94" t="s">
        <v>102</v>
      </c>
      <c r="E173" s="41"/>
      <c r="F173" s="41"/>
      <c r="G173" s="37"/>
      <c r="H173" s="13">
        <f aca="true" t="shared" si="48" ref="H173:T173">H174</f>
        <v>50000</v>
      </c>
      <c r="I173" s="13">
        <f t="shared" si="48"/>
        <v>0</v>
      </c>
      <c r="J173" s="13">
        <f t="shared" si="48"/>
        <v>0</v>
      </c>
      <c r="K173" s="13">
        <f t="shared" si="48"/>
        <v>0</v>
      </c>
      <c r="L173" s="13">
        <f t="shared" si="48"/>
        <v>0</v>
      </c>
      <c r="M173" s="13">
        <f t="shared" si="48"/>
        <v>0</v>
      </c>
      <c r="N173" s="13">
        <f t="shared" si="48"/>
        <v>0</v>
      </c>
      <c r="O173" s="13">
        <f t="shared" si="48"/>
        <v>0</v>
      </c>
      <c r="P173" s="13">
        <f t="shared" si="48"/>
        <v>0</v>
      </c>
      <c r="Q173" s="13">
        <f t="shared" si="48"/>
        <v>50000</v>
      </c>
      <c r="R173" s="13">
        <f t="shared" si="48"/>
        <v>0</v>
      </c>
      <c r="S173" s="13">
        <f t="shared" si="48"/>
        <v>0</v>
      </c>
      <c r="T173" s="13">
        <f t="shared" si="48"/>
        <v>0</v>
      </c>
      <c r="U173" s="58"/>
      <c r="V173" s="88">
        <f>V174</f>
        <v>50000</v>
      </c>
    </row>
    <row r="174" spans="1:22" ht="25.5">
      <c r="A174" s="56" t="s">
        <v>87</v>
      </c>
      <c r="B174" s="48" t="s">
        <v>157</v>
      </c>
      <c r="C174" s="10" t="s">
        <v>22</v>
      </c>
      <c r="D174" s="95" t="s">
        <v>103</v>
      </c>
      <c r="E174" s="10">
        <v>244</v>
      </c>
      <c r="F174" s="10">
        <v>226</v>
      </c>
      <c r="G174" s="31"/>
      <c r="H174" s="14">
        <v>50000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50000</v>
      </c>
      <c r="R174" s="14">
        <v>0</v>
      </c>
      <c r="S174" s="14">
        <v>0</v>
      </c>
      <c r="T174" s="14">
        <v>0</v>
      </c>
      <c r="U174" s="100"/>
      <c r="V174" s="15">
        <f>SUM(I174:T174)</f>
        <v>50000</v>
      </c>
    </row>
    <row r="175" spans="1:22" ht="83.25" customHeight="1">
      <c r="A175" s="62" t="s">
        <v>87</v>
      </c>
      <c r="B175" s="90" t="s">
        <v>126</v>
      </c>
      <c r="C175" s="37" t="s">
        <v>22</v>
      </c>
      <c r="D175" s="37">
        <v>6300000000</v>
      </c>
      <c r="E175" s="36"/>
      <c r="F175" s="36"/>
      <c r="G175" s="37"/>
      <c r="H175" s="13">
        <f aca="true" t="shared" si="49" ref="H175:T175">H177+H198+H191</f>
        <v>12021020.02</v>
      </c>
      <c r="I175" s="13">
        <f t="shared" si="49"/>
        <v>829013</v>
      </c>
      <c r="J175" s="13">
        <f t="shared" si="49"/>
        <v>1111335.08</v>
      </c>
      <c r="K175" s="13">
        <f t="shared" si="49"/>
        <v>1202841.57</v>
      </c>
      <c r="L175" s="13">
        <f t="shared" si="49"/>
        <v>898745</v>
      </c>
      <c r="M175" s="13">
        <f t="shared" si="49"/>
        <v>984302.9</v>
      </c>
      <c r="N175" s="13">
        <f t="shared" si="49"/>
        <v>983974.09</v>
      </c>
      <c r="O175" s="13">
        <f t="shared" si="49"/>
        <v>1303307.15</v>
      </c>
      <c r="P175" s="13">
        <f t="shared" si="49"/>
        <v>921558.97</v>
      </c>
      <c r="Q175" s="13">
        <f t="shared" si="49"/>
        <v>882300</v>
      </c>
      <c r="R175" s="13">
        <f t="shared" si="49"/>
        <v>999643.96</v>
      </c>
      <c r="S175" s="13">
        <f t="shared" si="49"/>
        <v>1056206.66</v>
      </c>
      <c r="T175" s="13">
        <f t="shared" si="49"/>
        <v>847791.64</v>
      </c>
      <c r="U175" s="101"/>
      <c r="V175" s="87">
        <f>SUM(I175:T175)</f>
        <v>12021020.020000003</v>
      </c>
    </row>
    <row r="176" spans="1:22" ht="12.75">
      <c r="A176" s="60"/>
      <c r="B176" s="43"/>
      <c r="C176" s="12"/>
      <c r="D176" s="12"/>
      <c r="E176" s="12"/>
      <c r="F176" s="12"/>
      <c r="G176" s="31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104"/>
      <c r="V176" s="15"/>
    </row>
    <row r="177" spans="1:22" ht="75" customHeight="1">
      <c r="A177" s="62" t="s">
        <v>87</v>
      </c>
      <c r="B177" s="90" t="s">
        <v>147</v>
      </c>
      <c r="C177" s="37" t="s">
        <v>22</v>
      </c>
      <c r="D177" s="37">
        <v>63100000000</v>
      </c>
      <c r="E177" s="37"/>
      <c r="F177" s="37"/>
      <c r="G177" s="37"/>
      <c r="H177" s="13">
        <f>H178+H182+H183+H184+H186+H187+H190+H185+H189+H188</f>
        <v>9753800</v>
      </c>
      <c r="I177" s="13">
        <f aca="true" t="shared" si="50" ref="I177:T177">I178+I182+I183+I184+I186+I187+I190+I185+I189+I188</f>
        <v>447000</v>
      </c>
      <c r="J177" s="13">
        <f t="shared" si="50"/>
        <v>753100.0000000001</v>
      </c>
      <c r="K177" s="13">
        <f t="shared" si="50"/>
        <v>769100.0000000001</v>
      </c>
      <c r="L177" s="13">
        <f t="shared" si="50"/>
        <v>816800</v>
      </c>
      <c r="M177" s="13">
        <f t="shared" si="50"/>
        <v>902802.9</v>
      </c>
      <c r="N177" s="13">
        <f t="shared" si="50"/>
        <v>902474.09</v>
      </c>
      <c r="O177" s="13">
        <f t="shared" si="50"/>
        <v>921807.15</v>
      </c>
      <c r="P177" s="13">
        <f t="shared" si="50"/>
        <v>840058.97</v>
      </c>
      <c r="Q177" s="13">
        <f t="shared" si="50"/>
        <v>800800</v>
      </c>
      <c r="R177" s="13">
        <f t="shared" si="50"/>
        <v>918143.96</v>
      </c>
      <c r="S177" s="13">
        <f t="shared" si="50"/>
        <v>877248.23</v>
      </c>
      <c r="T177" s="13">
        <f t="shared" si="50"/>
        <v>804464.7000000001</v>
      </c>
      <c r="U177" s="101"/>
      <c r="V177" s="87">
        <f>I177+J177+K177+L177+M177+N177+O177+P177+Q177+R177+S177+T177</f>
        <v>9753800</v>
      </c>
    </row>
    <row r="178" spans="7:22" ht="12.75" hidden="1">
      <c r="G178" s="31"/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100"/>
      <c r="V178" s="87">
        <f aca="true" t="shared" si="51" ref="V178:V190">I178+J178+K178+L178+M178+N178+O178+P178+Q178+R178+S178+T178</f>
        <v>0</v>
      </c>
    </row>
    <row r="179" spans="1:22" ht="12.75" hidden="1">
      <c r="A179" s="56"/>
      <c r="B179" s="63"/>
      <c r="C179" s="16" t="s">
        <v>22</v>
      </c>
      <c r="D179" s="16">
        <v>6470160020</v>
      </c>
      <c r="E179" s="16">
        <v>244</v>
      </c>
      <c r="F179" s="16">
        <v>225</v>
      </c>
      <c r="G179" s="31"/>
      <c r="H179" s="2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00"/>
      <c r="V179" s="87">
        <f t="shared" si="51"/>
        <v>0</v>
      </c>
    </row>
    <row r="180" spans="1:22" ht="12.75" hidden="1">
      <c r="A180" s="56"/>
      <c r="B180" s="63"/>
      <c r="C180" s="16" t="s">
        <v>22</v>
      </c>
      <c r="D180" s="16">
        <v>6470160050</v>
      </c>
      <c r="E180" s="16">
        <v>244</v>
      </c>
      <c r="F180" s="16">
        <v>225</v>
      </c>
      <c r="G180" s="31"/>
      <c r="H180" s="2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00"/>
      <c r="V180" s="87">
        <f t="shared" si="51"/>
        <v>0</v>
      </c>
    </row>
    <row r="181" spans="1:22" ht="12.75" hidden="1">
      <c r="A181" s="56"/>
      <c r="B181" s="63"/>
      <c r="C181" s="16" t="s">
        <v>22</v>
      </c>
      <c r="D181" s="16">
        <v>6470160170</v>
      </c>
      <c r="E181" s="16">
        <v>244</v>
      </c>
      <c r="F181" s="16">
        <v>225</v>
      </c>
      <c r="G181" s="31"/>
      <c r="H181" s="2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00"/>
      <c r="V181" s="87">
        <f t="shared" si="51"/>
        <v>0</v>
      </c>
    </row>
    <row r="182" spans="1:22" ht="102">
      <c r="A182" s="56" t="s">
        <v>87</v>
      </c>
      <c r="B182" s="109" t="s">
        <v>178</v>
      </c>
      <c r="C182" s="10" t="s">
        <v>22</v>
      </c>
      <c r="D182" s="38">
        <v>6310100590</v>
      </c>
      <c r="E182" s="10">
        <v>611</v>
      </c>
      <c r="F182" s="10">
        <v>111</v>
      </c>
      <c r="G182" s="10">
        <v>211</v>
      </c>
      <c r="H182" s="14">
        <f>5512200+344086</f>
        <v>5856286</v>
      </c>
      <c r="I182" s="14">
        <f>190000-87202.9</f>
        <v>102797.1</v>
      </c>
      <c r="J182" s="14">
        <f>459400+67241.03</f>
        <v>526641.03</v>
      </c>
      <c r="K182" s="14">
        <f>459400+34400-50548.23</f>
        <v>443251.77</v>
      </c>
      <c r="L182" s="14">
        <f>459400+34400</f>
        <v>493800</v>
      </c>
      <c r="M182" s="14">
        <f>459400+87202.9+34400</f>
        <v>581002.9</v>
      </c>
      <c r="N182" s="14">
        <f>559400+34400</f>
        <v>593800</v>
      </c>
      <c r="O182" s="14">
        <f>559400+34400</f>
        <v>593800</v>
      </c>
      <c r="P182" s="14">
        <f>559400+34400-67241.03</f>
        <v>526558.97</v>
      </c>
      <c r="Q182" s="14">
        <f>459400+34400</f>
        <v>493800</v>
      </c>
      <c r="R182" s="14">
        <f>459400+34400</f>
        <v>493800</v>
      </c>
      <c r="S182" s="14">
        <f>617400-190000+34400+50548.23</f>
        <v>512348.23</v>
      </c>
      <c r="T182" s="14">
        <f>460200+34400+86</f>
        <v>494686</v>
      </c>
      <c r="U182" s="100"/>
      <c r="V182" s="106">
        <f t="shared" si="51"/>
        <v>5856286</v>
      </c>
    </row>
    <row r="183" spans="1:22" ht="102">
      <c r="A183" s="56" t="s">
        <v>87</v>
      </c>
      <c r="B183" s="109" t="s">
        <v>179</v>
      </c>
      <c r="C183" s="10" t="s">
        <v>22</v>
      </c>
      <c r="D183" s="38">
        <v>6310100590</v>
      </c>
      <c r="E183" s="10">
        <v>611</v>
      </c>
      <c r="F183" s="10">
        <v>119</v>
      </c>
      <c r="G183" s="10">
        <v>219</v>
      </c>
      <c r="H183" s="14">
        <f>1664700+103914</f>
        <v>1768614</v>
      </c>
      <c r="I183" s="14">
        <v>55600</v>
      </c>
      <c r="J183" s="14">
        <f>138800-85343.96</f>
        <v>53456.03999999999</v>
      </c>
      <c r="K183" s="14">
        <f>138800+10300-24803.83</f>
        <v>124296.17</v>
      </c>
      <c r="L183" s="14">
        <f>138800+10300</f>
        <v>149100</v>
      </c>
      <c r="M183" s="14">
        <f>138800+10300</f>
        <v>149100</v>
      </c>
      <c r="N183" s="14">
        <f>155400+10300</f>
        <v>165700</v>
      </c>
      <c r="O183" s="14">
        <f>155400+10300</f>
        <v>165700</v>
      </c>
      <c r="P183" s="14">
        <f>155400+10300</f>
        <v>165700</v>
      </c>
      <c r="Q183" s="14">
        <f>138800+10300</f>
        <v>149100</v>
      </c>
      <c r="R183" s="14">
        <f>138800+10300+85343.96</f>
        <v>234443.96000000002</v>
      </c>
      <c r="S183" s="14">
        <f>226700-55600+10300</f>
        <v>181400</v>
      </c>
      <c r="T183" s="14">
        <f>139000+10300+914+24803.83</f>
        <v>175017.83000000002</v>
      </c>
      <c r="U183" s="100"/>
      <c r="V183" s="106">
        <f t="shared" si="51"/>
        <v>1768614</v>
      </c>
    </row>
    <row r="184" spans="1:22" ht="89.25">
      <c r="A184" s="56" t="s">
        <v>87</v>
      </c>
      <c r="B184" s="48" t="s">
        <v>181</v>
      </c>
      <c r="C184" s="10" t="s">
        <v>22</v>
      </c>
      <c r="D184" s="38">
        <v>6310100590</v>
      </c>
      <c r="E184" s="10">
        <v>611</v>
      </c>
      <c r="F184" s="10">
        <v>221</v>
      </c>
      <c r="G184" s="63" t="s">
        <v>218</v>
      </c>
      <c r="H184" s="14">
        <v>45600</v>
      </c>
      <c r="I184" s="14">
        <f>3800-3338.78</f>
        <v>461.2199999999998</v>
      </c>
      <c r="J184" s="14">
        <v>3800</v>
      </c>
      <c r="K184" s="14">
        <f>3800+3917.18</f>
        <v>7717.18</v>
      </c>
      <c r="L184" s="14">
        <v>3800</v>
      </c>
      <c r="M184" s="14">
        <v>3800</v>
      </c>
      <c r="N184" s="14">
        <v>3800</v>
      </c>
      <c r="O184" s="14">
        <v>3800</v>
      </c>
      <c r="P184" s="14">
        <v>3800</v>
      </c>
      <c r="Q184" s="14">
        <v>3800</v>
      </c>
      <c r="R184" s="14">
        <v>3800</v>
      </c>
      <c r="S184" s="14">
        <v>3800</v>
      </c>
      <c r="T184" s="14">
        <f>3800+3338.78-3917.18</f>
        <v>3221.600000000001</v>
      </c>
      <c r="U184" s="100"/>
      <c r="V184" s="106">
        <f t="shared" si="51"/>
        <v>45600</v>
      </c>
    </row>
    <row r="185" spans="1:22" ht="114.75">
      <c r="A185" s="56" t="s">
        <v>87</v>
      </c>
      <c r="B185" s="110" t="s">
        <v>180</v>
      </c>
      <c r="C185" s="10" t="s">
        <v>22</v>
      </c>
      <c r="D185" s="38">
        <v>6310100590</v>
      </c>
      <c r="E185" s="10">
        <v>611</v>
      </c>
      <c r="F185" s="10">
        <v>223</v>
      </c>
      <c r="G185" s="63" t="s">
        <v>219</v>
      </c>
      <c r="H185" s="14">
        <v>632300</v>
      </c>
      <c r="I185" s="14">
        <f>72600-38965.79+1060.27</f>
        <v>34694.479999999996</v>
      </c>
      <c r="J185" s="14">
        <f>72600-37174.09+30000</f>
        <v>65425.91</v>
      </c>
      <c r="K185" s="14">
        <f>52600-46951.55+50000+46951.55</f>
        <v>102600</v>
      </c>
      <c r="L185" s="14">
        <v>52600</v>
      </c>
      <c r="M185" s="14">
        <v>46500</v>
      </c>
      <c r="N185" s="14">
        <f>30000+37174.09-50000</f>
        <v>17174.089999999997</v>
      </c>
      <c r="O185" s="14">
        <v>30000</v>
      </c>
      <c r="P185" s="14">
        <v>30000</v>
      </c>
      <c r="Q185" s="14">
        <v>47600</v>
      </c>
      <c r="R185" s="14">
        <v>72600</v>
      </c>
      <c r="S185" s="14">
        <v>72600</v>
      </c>
      <c r="T185" s="14">
        <f>52600+38965.79-1060.27-30000</f>
        <v>60505.520000000004</v>
      </c>
      <c r="U185" s="100"/>
      <c r="V185" s="106">
        <f t="shared" si="51"/>
        <v>632300</v>
      </c>
    </row>
    <row r="186" spans="1:22" ht="114.75">
      <c r="A186" s="56" t="s">
        <v>87</v>
      </c>
      <c r="B186" s="48" t="s">
        <v>182</v>
      </c>
      <c r="C186" s="10" t="s">
        <v>22</v>
      </c>
      <c r="D186" s="38">
        <v>6310100590</v>
      </c>
      <c r="E186" s="10">
        <v>611</v>
      </c>
      <c r="F186" s="10">
        <v>290</v>
      </c>
      <c r="G186" s="63" t="s">
        <v>220</v>
      </c>
      <c r="H186" s="14">
        <v>100000</v>
      </c>
      <c r="I186" s="14">
        <f>40000-30919</f>
        <v>9081</v>
      </c>
      <c r="J186" s="14">
        <v>8.73</v>
      </c>
      <c r="K186" s="14">
        <v>0</v>
      </c>
      <c r="L186" s="14">
        <v>13000</v>
      </c>
      <c r="M186" s="14">
        <v>9000</v>
      </c>
      <c r="N186" s="14">
        <v>17500</v>
      </c>
      <c r="O186" s="14">
        <f>30919-8.73</f>
        <v>30910.27</v>
      </c>
      <c r="P186" s="14">
        <v>9500</v>
      </c>
      <c r="Q186" s="14">
        <v>2000</v>
      </c>
      <c r="R186" s="14">
        <v>9000</v>
      </c>
      <c r="S186" s="14">
        <v>0</v>
      </c>
      <c r="T186" s="14">
        <v>0</v>
      </c>
      <c r="U186" s="100"/>
      <c r="V186" s="106">
        <f t="shared" si="51"/>
        <v>100000</v>
      </c>
    </row>
    <row r="187" spans="1:22" ht="114.75">
      <c r="A187" s="56" t="s">
        <v>87</v>
      </c>
      <c r="B187" s="48" t="s">
        <v>183</v>
      </c>
      <c r="C187" s="10" t="s">
        <v>22</v>
      </c>
      <c r="D187" s="38">
        <v>6310100590</v>
      </c>
      <c r="E187" s="10">
        <v>611</v>
      </c>
      <c r="F187" s="10">
        <v>340</v>
      </c>
      <c r="G187" s="63" t="s">
        <v>221</v>
      </c>
      <c r="H187" s="14">
        <v>678600</v>
      </c>
      <c r="I187" s="14">
        <f>60000+30345.75+37290.45</f>
        <v>127636.2</v>
      </c>
      <c r="J187" s="14">
        <v>54665.17</v>
      </c>
      <c r="K187" s="14">
        <v>52869.88</v>
      </c>
      <c r="L187" s="14">
        <v>53400</v>
      </c>
      <c r="M187" s="14">
        <v>53400</v>
      </c>
      <c r="N187" s="14">
        <v>53400</v>
      </c>
      <c r="O187" s="14">
        <v>53400</v>
      </c>
      <c r="P187" s="14">
        <v>53400</v>
      </c>
      <c r="Q187" s="14">
        <v>53400</v>
      </c>
      <c r="R187" s="14">
        <v>53400</v>
      </c>
      <c r="S187" s="14">
        <v>53400</v>
      </c>
      <c r="T187" s="14">
        <f>53400+854.25-37290.45+53400-54665.17+53400-52869.88</f>
        <v>16228.750000000007</v>
      </c>
      <c r="U187" s="100"/>
      <c r="V187" s="106">
        <f t="shared" si="51"/>
        <v>678600</v>
      </c>
    </row>
    <row r="188" spans="1:22" ht="114.75">
      <c r="A188" s="56" t="s">
        <v>87</v>
      </c>
      <c r="B188" s="48" t="s">
        <v>183</v>
      </c>
      <c r="C188" s="10" t="s">
        <v>22</v>
      </c>
      <c r="D188" s="38">
        <v>6310100590</v>
      </c>
      <c r="E188" s="10">
        <v>611</v>
      </c>
      <c r="F188" s="10"/>
      <c r="G188" s="63" t="s">
        <v>222</v>
      </c>
      <c r="H188" s="14">
        <f>450360+40</f>
        <v>450400</v>
      </c>
      <c r="I188" s="14">
        <v>91530</v>
      </c>
      <c r="J188" s="14">
        <f>32600-23096.88+30000</f>
        <v>39503.119999999995</v>
      </c>
      <c r="K188" s="14">
        <v>30000</v>
      </c>
      <c r="L188" s="14">
        <v>32600</v>
      </c>
      <c r="M188" s="14">
        <v>32600</v>
      </c>
      <c r="N188" s="14">
        <v>32600</v>
      </c>
      <c r="O188" s="14">
        <f>32600+23096.88-30000</f>
        <v>25696.880000000005</v>
      </c>
      <c r="P188" s="14">
        <v>32600</v>
      </c>
      <c r="Q188" s="14">
        <v>32600</v>
      </c>
      <c r="R188" s="14">
        <v>32600</v>
      </c>
      <c r="S188" s="14">
        <f>32600+32600-30000</f>
        <v>35200</v>
      </c>
      <c r="T188" s="14">
        <f>32600+230+40</f>
        <v>32870</v>
      </c>
      <c r="U188" s="100"/>
      <c r="V188" s="106">
        <f t="shared" si="51"/>
        <v>450400</v>
      </c>
    </row>
    <row r="189" spans="1:22" ht="114.75" hidden="1">
      <c r="A189" s="56" t="s">
        <v>87</v>
      </c>
      <c r="B189" s="48" t="s">
        <v>184</v>
      </c>
      <c r="C189" s="10" t="s">
        <v>22</v>
      </c>
      <c r="D189" s="38">
        <v>6310100590</v>
      </c>
      <c r="E189" s="10">
        <v>611</v>
      </c>
      <c r="F189" s="10">
        <v>340</v>
      </c>
      <c r="G189" s="63" t="s">
        <v>223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00"/>
      <c r="V189" s="106">
        <f t="shared" si="51"/>
        <v>0</v>
      </c>
    </row>
    <row r="190" spans="1:22" ht="114.75">
      <c r="A190" s="56" t="s">
        <v>87</v>
      </c>
      <c r="B190" s="48" t="s">
        <v>184</v>
      </c>
      <c r="C190" s="10" t="s">
        <v>22</v>
      </c>
      <c r="D190" s="38">
        <v>6310100590</v>
      </c>
      <c r="E190" s="10">
        <v>611</v>
      </c>
      <c r="F190" s="10">
        <v>226</v>
      </c>
      <c r="G190" s="63" t="s">
        <v>224</v>
      </c>
      <c r="H190" s="14">
        <f>80000+32000+100000+10000</f>
        <v>222000</v>
      </c>
      <c r="I190" s="14">
        <f>18500+6700</f>
        <v>25200</v>
      </c>
      <c r="J190" s="14">
        <f>18500-8900</f>
        <v>9600</v>
      </c>
      <c r="K190" s="14">
        <f>18500-10135</f>
        <v>8365</v>
      </c>
      <c r="L190" s="14">
        <v>18500</v>
      </c>
      <c r="M190" s="14">
        <f>18500+8900</f>
        <v>27400</v>
      </c>
      <c r="N190" s="14">
        <v>18500</v>
      </c>
      <c r="O190" s="14">
        <v>18500</v>
      </c>
      <c r="P190" s="14">
        <v>18500</v>
      </c>
      <c r="Q190" s="14">
        <v>18500</v>
      </c>
      <c r="R190" s="14">
        <v>18500</v>
      </c>
      <c r="S190" s="14">
        <v>18500</v>
      </c>
      <c r="T190" s="14">
        <f>18500-6700+10135</f>
        <v>21935</v>
      </c>
      <c r="U190" s="100"/>
      <c r="V190" s="106">
        <f t="shared" si="51"/>
        <v>222000</v>
      </c>
    </row>
    <row r="191" spans="1:22" ht="73.5" customHeight="1">
      <c r="A191" s="56" t="s">
        <v>87</v>
      </c>
      <c r="B191" s="90" t="s">
        <v>154</v>
      </c>
      <c r="C191" s="37" t="s">
        <v>22</v>
      </c>
      <c r="D191" s="37">
        <v>63200000000</v>
      </c>
      <c r="E191" s="37"/>
      <c r="F191" s="37"/>
      <c r="G191" s="90"/>
      <c r="H191" s="13">
        <f>H192+H193+H194+H195+H196</f>
        <v>1729220.02</v>
      </c>
      <c r="I191" s="13">
        <f aca="true" t="shared" si="52" ref="I191:T191">I192+I193+I194+I195+I196</f>
        <v>37013</v>
      </c>
      <c r="J191" s="13">
        <f t="shared" si="52"/>
        <v>165680.08000000002</v>
      </c>
      <c r="K191" s="13">
        <f t="shared" si="52"/>
        <v>433741.57</v>
      </c>
      <c r="L191" s="13">
        <f t="shared" si="52"/>
        <v>81500</v>
      </c>
      <c r="M191" s="13">
        <f t="shared" si="52"/>
        <v>81500</v>
      </c>
      <c r="N191" s="13">
        <f t="shared" si="52"/>
        <v>81500</v>
      </c>
      <c r="O191" s="13">
        <f t="shared" si="52"/>
        <v>381500</v>
      </c>
      <c r="P191" s="13">
        <f t="shared" si="52"/>
        <v>81500</v>
      </c>
      <c r="Q191" s="13">
        <f t="shared" si="52"/>
        <v>81500</v>
      </c>
      <c r="R191" s="13">
        <f t="shared" si="52"/>
        <v>81500</v>
      </c>
      <c r="S191" s="13">
        <f t="shared" si="52"/>
        <v>178958.43</v>
      </c>
      <c r="T191" s="13">
        <f t="shared" si="52"/>
        <v>43326.93999999997</v>
      </c>
      <c r="U191" s="100"/>
      <c r="V191" s="87">
        <f>SUM(I191:T191)</f>
        <v>1729220.0199999998</v>
      </c>
    </row>
    <row r="192" spans="1:22" ht="25.5" hidden="1">
      <c r="A192" s="56" t="s">
        <v>87</v>
      </c>
      <c r="B192" s="110" t="s">
        <v>168</v>
      </c>
      <c r="C192" s="10" t="s">
        <v>22</v>
      </c>
      <c r="D192" s="38">
        <v>6320110340</v>
      </c>
      <c r="E192" s="10">
        <v>247</v>
      </c>
      <c r="F192" s="10">
        <v>223</v>
      </c>
      <c r="G192" s="63"/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00"/>
      <c r="V192" s="15">
        <f>T192+S192+R192+Q192+P192+O192+N192+M192+L192+K192+J192+I192</f>
        <v>0</v>
      </c>
    </row>
    <row r="193" spans="1:22" ht="63.75">
      <c r="A193" s="56" t="s">
        <v>87</v>
      </c>
      <c r="B193" s="48" t="s">
        <v>157</v>
      </c>
      <c r="C193" s="10" t="s">
        <v>22</v>
      </c>
      <c r="D193" s="38">
        <v>6320110340</v>
      </c>
      <c r="E193" s="10">
        <v>244</v>
      </c>
      <c r="F193" s="10">
        <v>226</v>
      </c>
      <c r="G193" s="63" t="s">
        <v>225</v>
      </c>
      <c r="H193" s="14">
        <f>177987.02+150000</f>
        <v>327987.02</v>
      </c>
      <c r="I193" s="14">
        <v>27500</v>
      </c>
      <c r="J193" s="14">
        <v>13600</v>
      </c>
      <c r="K193" s="14">
        <f>13600+150000</f>
        <v>163600</v>
      </c>
      <c r="L193" s="14">
        <v>13600</v>
      </c>
      <c r="M193" s="14">
        <v>13600</v>
      </c>
      <c r="N193" s="14">
        <v>13600</v>
      </c>
      <c r="O193" s="14">
        <v>13600</v>
      </c>
      <c r="P193" s="14">
        <v>13600</v>
      </c>
      <c r="Q193" s="14">
        <v>13600</v>
      </c>
      <c r="R193" s="14">
        <v>13600</v>
      </c>
      <c r="S193" s="14">
        <v>13600</v>
      </c>
      <c r="T193" s="14">
        <f>13600+887.02+150000-150000</f>
        <v>14487.01999999999</v>
      </c>
      <c r="U193" s="100"/>
      <c r="V193" s="15">
        <f>T193+S193+R193+Q193+P193+O193+N193+M193+L193+K193+J193+I193</f>
        <v>327987.02</v>
      </c>
    </row>
    <row r="194" spans="1:22" ht="51">
      <c r="A194" s="56" t="s">
        <v>87</v>
      </c>
      <c r="B194" s="48" t="s">
        <v>157</v>
      </c>
      <c r="C194" s="10" t="s">
        <v>22</v>
      </c>
      <c r="D194" s="38">
        <v>6320110340</v>
      </c>
      <c r="E194" s="10">
        <v>244</v>
      </c>
      <c r="F194" s="10">
        <v>225</v>
      </c>
      <c r="G194" s="63" t="s">
        <v>224</v>
      </c>
      <c r="H194" s="14">
        <f>437720+148000+150000</f>
        <v>735720</v>
      </c>
      <c r="I194" s="14">
        <v>7500</v>
      </c>
      <c r="J194" s="14">
        <f>39000+39380.08</f>
        <v>78380.08</v>
      </c>
      <c r="K194" s="14">
        <f>39000+120000+52541.57</f>
        <v>211541.57</v>
      </c>
      <c r="L194" s="14">
        <v>39000</v>
      </c>
      <c r="M194" s="14">
        <v>39000</v>
      </c>
      <c r="N194" s="14">
        <v>39000</v>
      </c>
      <c r="O194" s="14">
        <v>39000</v>
      </c>
      <c r="P194" s="14">
        <v>39000</v>
      </c>
      <c r="Q194" s="14">
        <v>39000</v>
      </c>
      <c r="R194" s="14">
        <v>39000</v>
      </c>
      <c r="S194" s="14">
        <f>39000+150000-52541.57</f>
        <v>136458.43</v>
      </c>
      <c r="T194" s="14">
        <f>39000+1220-39380.08+148000-120000</f>
        <v>28839.919999999984</v>
      </c>
      <c r="U194" s="100"/>
      <c r="V194" s="15">
        <f>T194+S194+R194+Q194+P194+O194+N194+M194+L194+K194+J194+I194</f>
        <v>735719.9999999999</v>
      </c>
    </row>
    <row r="195" spans="1:22" ht="38.25">
      <c r="A195" s="56" t="s">
        <v>87</v>
      </c>
      <c r="B195" s="48" t="s">
        <v>158</v>
      </c>
      <c r="C195" s="10" t="s">
        <v>22</v>
      </c>
      <c r="D195" s="38">
        <v>6320110340</v>
      </c>
      <c r="E195" s="10">
        <v>244</v>
      </c>
      <c r="F195" s="10">
        <v>340</v>
      </c>
      <c r="G195" s="63" t="s">
        <v>222</v>
      </c>
      <c r="H195" s="14">
        <f>813513-448000</f>
        <v>365513</v>
      </c>
      <c r="I195" s="14">
        <v>2013</v>
      </c>
      <c r="J195" s="14">
        <v>73700</v>
      </c>
      <c r="K195" s="14">
        <f>73700-44800+29700</f>
        <v>58600</v>
      </c>
      <c r="L195" s="14">
        <f aca="true" t="shared" si="53" ref="L195:S195">73700-44800</f>
        <v>28900</v>
      </c>
      <c r="M195" s="14">
        <f t="shared" si="53"/>
        <v>28900</v>
      </c>
      <c r="N195" s="14">
        <f t="shared" si="53"/>
        <v>28900</v>
      </c>
      <c r="O195" s="14">
        <f t="shared" si="53"/>
        <v>28900</v>
      </c>
      <c r="P195" s="14">
        <f t="shared" si="53"/>
        <v>28900</v>
      </c>
      <c r="Q195" s="14">
        <f t="shared" si="53"/>
        <v>28900</v>
      </c>
      <c r="R195" s="14">
        <f t="shared" si="53"/>
        <v>28900</v>
      </c>
      <c r="S195" s="14">
        <f t="shared" si="53"/>
        <v>28900</v>
      </c>
      <c r="T195" s="14">
        <v>0</v>
      </c>
      <c r="U195" s="100"/>
      <c r="V195" s="15">
        <f>T195+S195+R195+Q195+P195+O195+N195+M195+L195+K195+J195+I195</f>
        <v>365513</v>
      </c>
    </row>
    <row r="196" spans="1:22" ht="30" customHeight="1">
      <c r="A196" s="56" t="s">
        <v>87</v>
      </c>
      <c r="B196" s="48" t="s">
        <v>157</v>
      </c>
      <c r="C196" s="10" t="s">
        <v>22</v>
      </c>
      <c r="D196" s="38">
        <v>6320210380</v>
      </c>
      <c r="E196" s="10">
        <v>244</v>
      </c>
      <c r="F196" s="10"/>
      <c r="G196" s="63" t="s">
        <v>226</v>
      </c>
      <c r="H196" s="14">
        <v>300000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300000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00"/>
      <c r="V196" s="15">
        <f>T196+S196+R196+Q196+P196+O196+N196+M196+L196+K196+J196+I196</f>
        <v>300000</v>
      </c>
    </row>
    <row r="197" spans="1:22" ht="12.75">
      <c r="A197" s="56"/>
      <c r="B197" s="63"/>
      <c r="C197" s="16"/>
      <c r="D197" s="16"/>
      <c r="E197" s="10"/>
      <c r="F197" s="16"/>
      <c r="G197" s="31"/>
      <c r="H197" s="29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 t="s">
        <v>94</v>
      </c>
      <c r="T197" s="14"/>
      <c r="U197" s="100"/>
      <c r="V197" s="15"/>
    </row>
    <row r="198" spans="1:22" ht="80.25" customHeight="1">
      <c r="A198" s="62" t="s">
        <v>87</v>
      </c>
      <c r="B198" s="90" t="s">
        <v>127</v>
      </c>
      <c r="C198" s="37" t="s">
        <v>22</v>
      </c>
      <c r="D198" s="37">
        <v>63300000000</v>
      </c>
      <c r="E198" s="37"/>
      <c r="F198" s="37"/>
      <c r="G198" s="37"/>
      <c r="H198" s="13">
        <f aca="true" t="shared" si="54" ref="H198:T198">H199</f>
        <v>538000</v>
      </c>
      <c r="I198" s="13">
        <f t="shared" si="54"/>
        <v>345000</v>
      </c>
      <c r="J198" s="13">
        <f t="shared" si="54"/>
        <v>192555</v>
      </c>
      <c r="K198" s="13">
        <f t="shared" si="54"/>
        <v>0</v>
      </c>
      <c r="L198" s="13">
        <f t="shared" si="54"/>
        <v>445</v>
      </c>
      <c r="M198" s="13">
        <f t="shared" si="54"/>
        <v>0</v>
      </c>
      <c r="N198" s="13">
        <f t="shared" si="54"/>
        <v>0</v>
      </c>
      <c r="O198" s="13">
        <f t="shared" si="54"/>
        <v>0</v>
      </c>
      <c r="P198" s="13">
        <f t="shared" si="54"/>
        <v>0</v>
      </c>
      <c r="Q198" s="13">
        <f t="shared" si="54"/>
        <v>0</v>
      </c>
      <c r="R198" s="13">
        <f t="shared" si="54"/>
        <v>0</v>
      </c>
      <c r="S198" s="13">
        <f t="shared" si="54"/>
        <v>0</v>
      </c>
      <c r="T198" s="13">
        <f t="shared" si="54"/>
        <v>0</v>
      </c>
      <c r="U198" s="101"/>
      <c r="V198" s="87">
        <f aca="true" t="shared" si="55" ref="V198:V210">SUM(I198:T198)</f>
        <v>538000</v>
      </c>
    </row>
    <row r="199" spans="1:22" ht="24.75" customHeight="1">
      <c r="A199" s="56" t="s">
        <v>87</v>
      </c>
      <c r="B199" s="48" t="s">
        <v>158</v>
      </c>
      <c r="C199" s="10" t="s">
        <v>22</v>
      </c>
      <c r="D199" s="10">
        <v>6330110350</v>
      </c>
      <c r="E199" s="10">
        <v>244</v>
      </c>
      <c r="F199" s="10">
        <v>225</v>
      </c>
      <c r="G199" s="31"/>
      <c r="H199" s="14">
        <f>525000+13000</f>
        <v>538000</v>
      </c>
      <c r="I199" s="14">
        <v>345000</v>
      </c>
      <c r="J199" s="14">
        <v>192555</v>
      </c>
      <c r="K199" s="14">
        <v>0</v>
      </c>
      <c r="L199" s="14">
        <f>162500-69500-92555</f>
        <v>445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00"/>
      <c r="V199" s="15">
        <f t="shared" si="55"/>
        <v>538000</v>
      </c>
    </row>
    <row r="200" spans="1:22" ht="12.75" hidden="1">
      <c r="A200" s="56"/>
      <c r="B200" s="23"/>
      <c r="C200" s="16"/>
      <c r="D200" s="16"/>
      <c r="E200" s="16"/>
      <c r="F200" s="16"/>
      <c r="G200" s="31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00"/>
      <c r="V200" s="15">
        <f t="shared" si="55"/>
        <v>0</v>
      </c>
    </row>
    <row r="201" spans="1:22" ht="12.75" hidden="1">
      <c r="A201" s="56"/>
      <c r="B201" s="23"/>
      <c r="C201" s="16"/>
      <c r="D201" s="16"/>
      <c r="E201" s="16"/>
      <c r="F201" s="16"/>
      <c r="G201" s="31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00"/>
      <c r="V201" s="15">
        <f t="shared" si="55"/>
        <v>0</v>
      </c>
    </row>
    <row r="202" spans="1:22" ht="12.75" hidden="1">
      <c r="A202" s="56"/>
      <c r="B202" s="23"/>
      <c r="C202" s="16"/>
      <c r="D202" s="16"/>
      <c r="E202" s="16"/>
      <c r="F202" s="16"/>
      <c r="G202" s="31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00"/>
      <c r="V202" s="15">
        <f t="shared" si="55"/>
        <v>0</v>
      </c>
    </row>
    <row r="203" spans="1:22" ht="12.75" hidden="1">
      <c r="A203" s="56"/>
      <c r="B203" s="23"/>
      <c r="C203" s="16"/>
      <c r="D203" s="16"/>
      <c r="E203" s="16"/>
      <c r="F203" s="16"/>
      <c r="G203" s="31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00"/>
      <c r="V203" s="15">
        <f t="shared" si="55"/>
        <v>0</v>
      </c>
    </row>
    <row r="204" spans="1:22" ht="12.75" hidden="1">
      <c r="A204" s="56"/>
      <c r="B204" s="23"/>
      <c r="C204" s="16"/>
      <c r="D204" s="16"/>
      <c r="E204" s="16"/>
      <c r="F204" s="16"/>
      <c r="G204" s="31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00"/>
      <c r="V204" s="15">
        <f t="shared" si="55"/>
        <v>0</v>
      </c>
    </row>
    <row r="205" spans="1:22" ht="12.75" hidden="1">
      <c r="A205" s="56"/>
      <c r="B205" s="23"/>
      <c r="C205" s="16"/>
      <c r="D205" s="16"/>
      <c r="E205" s="16"/>
      <c r="F205" s="16"/>
      <c r="G205" s="31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00"/>
      <c r="V205" s="15">
        <f t="shared" si="55"/>
        <v>0</v>
      </c>
    </row>
    <row r="206" spans="1:22" ht="12.75" hidden="1">
      <c r="A206" s="56"/>
      <c r="B206" s="23"/>
      <c r="C206" s="16"/>
      <c r="D206" s="16"/>
      <c r="E206" s="16"/>
      <c r="F206" s="16"/>
      <c r="G206" s="31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00"/>
      <c r="V206" s="15">
        <f t="shared" si="55"/>
        <v>0</v>
      </c>
    </row>
    <row r="207" spans="1:22" ht="12.75" hidden="1">
      <c r="A207" s="56"/>
      <c r="B207" s="23"/>
      <c r="C207" s="16"/>
      <c r="D207" s="16"/>
      <c r="E207" s="16"/>
      <c r="F207" s="16"/>
      <c r="G207" s="31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00"/>
      <c r="V207" s="15">
        <f t="shared" si="55"/>
        <v>0</v>
      </c>
    </row>
    <row r="208" spans="1:22" ht="12.75" hidden="1">
      <c r="A208" s="56"/>
      <c r="B208" s="23"/>
      <c r="C208" s="16"/>
      <c r="D208" s="16"/>
      <c r="E208" s="16"/>
      <c r="F208" s="16"/>
      <c r="G208" s="31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00"/>
      <c r="V208" s="15">
        <f t="shared" si="55"/>
        <v>0</v>
      </c>
    </row>
    <row r="209" spans="1:22" ht="12.75" hidden="1">
      <c r="A209" s="56"/>
      <c r="B209" s="23"/>
      <c r="C209" s="16"/>
      <c r="D209" s="16"/>
      <c r="E209" s="16"/>
      <c r="F209" s="16"/>
      <c r="G209" s="31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00"/>
      <c r="V209" s="15">
        <f t="shared" si="55"/>
        <v>0</v>
      </c>
    </row>
    <row r="210" spans="1:22" ht="12.75">
      <c r="A210" s="60"/>
      <c r="B210" s="43"/>
      <c r="C210" s="12"/>
      <c r="D210" s="12"/>
      <c r="E210" s="12"/>
      <c r="F210" s="12"/>
      <c r="G210" s="31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104"/>
      <c r="V210" s="15">
        <f t="shared" si="55"/>
        <v>0</v>
      </c>
    </row>
    <row r="211" spans="1:22" ht="12.75">
      <c r="A211" s="60"/>
      <c r="B211" s="25" t="s">
        <v>45</v>
      </c>
      <c r="C211" s="25" t="s">
        <v>22</v>
      </c>
      <c r="D211" s="12"/>
      <c r="E211" s="12"/>
      <c r="F211" s="12"/>
      <c r="G211" s="31"/>
      <c r="H211" s="30">
        <f aca="true" t="shared" si="56" ref="H211:T211">H173+H198+H177+H191</f>
        <v>12071020.02</v>
      </c>
      <c r="I211" s="30">
        <f t="shared" si="56"/>
        <v>829013</v>
      </c>
      <c r="J211" s="30">
        <f t="shared" si="56"/>
        <v>1111335.08</v>
      </c>
      <c r="K211" s="30">
        <f t="shared" si="56"/>
        <v>1202841.57</v>
      </c>
      <c r="L211" s="30">
        <f t="shared" si="56"/>
        <v>898745</v>
      </c>
      <c r="M211" s="30">
        <f t="shared" si="56"/>
        <v>984302.9</v>
      </c>
      <c r="N211" s="30">
        <f t="shared" si="56"/>
        <v>983974.09</v>
      </c>
      <c r="O211" s="30">
        <f t="shared" si="56"/>
        <v>1303307.15</v>
      </c>
      <c r="P211" s="30">
        <f t="shared" si="56"/>
        <v>921558.97</v>
      </c>
      <c r="Q211" s="30">
        <f t="shared" si="56"/>
        <v>932300</v>
      </c>
      <c r="R211" s="30">
        <f t="shared" si="56"/>
        <v>999643.96</v>
      </c>
      <c r="S211" s="30">
        <f t="shared" si="56"/>
        <v>1056206.66</v>
      </c>
      <c r="T211" s="30">
        <f t="shared" si="56"/>
        <v>847791.64</v>
      </c>
      <c r="U211" s="102"/>
      <c r="V211" s="47">
        <f>V198+V191+V177+V173</f>
        <v>12071020.02</v>
      </c>
    </row>
    <row r="212" spans="1:22" ht="12.75">
      <c r="A212" s="60"/>
      <c r="B212" s="43"/>
      <c r="C212" s="12"/>
      <c r="D212" s="12"/>
      <c r="E212" s="12"/>
      <c r="F212" s="12"/>
      <c r="G212" s="31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104"/>
      <c r="V212" s="15">
        <f>SUM(I212:T212)</f>
        <v>0</v>
      </c>
    </row>
    <row r="213" spans="1:22" ht="13.5" customHeight="1">
      <c r="A213" s="66"/>
      <c r="B213" s="92" t="s">
        <v>62</v>
      </c>
      <c r="C213" s="68"/>
      <c r="D213" s="68"/>
      <c r="E213" s="68"/>
      <c r="F213" s="68"/>
      <c r="G213" s="69"/>
      <c r="H213" s="42">
        <f aca="true" t="shared" si="57" ref="H213:T213">H211+H171</f>
        <v>12291020.02</v>
      </c>
      <c r="I213" s="42">
        <f t="shared" si="57"/>
        <v>829013</v>
      </c>
      <c r="J213" s="42">
        <f t="shared" si="57"/>
        <v>1130835.08</v>
      </c>
      <c r="K213" s="42">
        <f t="shared" si="57"/>
        <v>1248341.57</v>
      </c>
      <c r="L213" s="42">
        <f t="shared" si="57"/>
        <v>898745</v>
      </c>
      <c r="M213" s="42">
        <f t="shared" si="57"/>
        <v>984302.9</v>
      </c>
      <c r="N213" s="42">
        <f t="shared" si="57"/>
        <v>983974.09</v>
      </c>
      <c r="O213" s="42">
        <f t="shared" si="57"/>
        <v>1353307.15</v>
      </c>
      <c r="P213" s="42">
        <f t="shared" si="57"/>
        <v>971558.97</v>
      </c>
      <c r="Q213" s="42">
        <f t="shared" si="57"/>
        <v>965600</v>
      </c>
      <c r="R213" s="42">
        <f t="shared" si="57"/>
        <v>999643.96</v>
      </c>
      <c r="S213" s="42">
        <f t="shared" si="57"/>
        <v>1066206.66</v>
      </c>
      <c r="T213" s="42">
        <f t="shared" si="57"/>
        <v>859491.64</v>
      </c>
      <c r="U213" s="104"/>
      <c r="V213" s="50">
        <f>V211+V171</f>
        <v>12291020.02</v>
      </c>
    </row>
    <row r="214" spans="1:22" ht="13.5" customHeight="1">
      <c r="A214" s="60"/>
      <c r="B214" s="43"/>
      <c r="C214" s="12"/>
      <c r="D214" s="12"/>
      <c r="E214" s="12"/>
      <c r="F214" s="12"/>
      <c r="G214" s="31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104"/>
      <c r="V214" s="50"/>
    </row>
    <row r="215" spans="1:22" ht="37.5" customHeight="1">
      <c r="A215" s="62" t="s">
        <v>87</v>
      </c>
      <c r="B215" s="90" t="s">
        <v>49</v>
      </c>
      <c r="C215" s="37" t="s">
        <v>106</v>
      </c>
      <c r="D215" s="37">
        <v>5230000000</v>
      </c>
      <c r="E215" s="37"/>
      <c r="F215" s="37"/>
      <c r="G215" s="37"/>
      <c r="H215" s="13">
        <f aca="true" t="shared" si="58" ref="H215:T215">H216</f>
        <v>54000</v>
      </c>
      <c r="I215" s="13">
        <f t="shared" si="58"/>
        <v>0</v>
      </c>
      <c r="J215" s="13">
        <f t="shared" si="58"/>
        <v>0</v>
      </c>
      <c r="K215" s="13">
        <f t="shared" si="58"/>
        <v>0</v>
      </c>
      <c r="L215" s="13">
        <f t="shared" si="58"/>
        <v>0</v>
      </c>
      <c r="M215" s="13">
        <f t="shared" si="58"/>
        <v>0</v>
      </c>
      <c r="N215" s="13">
        <f t="shared" si="58"/>
        <v>54000</v>
      </c>
      <c r="O215" s="13">
        <f t="shared" si="58"/>
        <v>0</v>
      </c>
      <c r="P215" s="13">
        <f t="shared" si="58"/>
        <v>0</v>
      </c>
      <c r="Q215" s="13">
        <f t="shared" si="58"/>
        <v>0</v>
      </c>
      <c r="R215" s="13">
        <f t="shared" si="58"/>
        <v>0</v>
      </c>
      <c r="S215" s="13">
        <f t="shared" si="58"/>
        <v>0</v>
      </c>
      <c r="T215" s="13">
        <f t="shared" si="58"/>
        <v>0</v>
      </c>
      <c r="U215" s="104"/>
      <c r="V215" s="125">
        <f>SUM(I215:T215)</f>
        <v>54000</v>
      </c>
    </row>
    <row r="216" spans="1:22" s="124" customFormat="1" ht="33.75" customHeight="1">
      <c r="A216" s="60" t="s">
        <v>87</v>
      </c>
      <c r="B216" s="48" t="s">
        <v>157</v>
      </c>
      <c r="C216" s="10" t="s">
        <v>106</v>
      </c>
      <c r="D216" s="10">
        <v>5210200590</v>
      </c>
      <c r="E216" s="10">
        <v>244</v>
      </c>
      <c r="F216" s="31"/>
      <c r="G216" s="31"/>
      <c r="H216" s="14">
        <v>54000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54000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23"/>
      <c r="V216" s="77">
        <f>K216</f>
        <v>0</v>
      </c>
    </row>
    <row r="217" spans="1:22" ht="13.5" customHeight="1">
      <c r="A217" s="60"/>
      <c r="B217" s="43"/>
      <c r="C217" s="12"/>
      <c r="D217" s="12"/>
      <c r="E217" s="31"/>
      <c r="F217" s="31"/>
      <c r="G217" s="31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104"/>
      <c r="V217" s="77">
        <f>K217</f>
        <v>0</v>
      </c>
    </row>
    <row r="218" spans="1:22" s="3" customFormat="1" ht="51">
      <c r="A218" s="62" t="s">
        <v>87</v>
      </c>
      <c r="B218" s="90" t="s">
        <v>52</v>
      </c>
      <c r="C218" s="37" t="s">
        <v>106</v>
      </c>
      <c r="D218" s="37">
        <v>5230000000</v>
      </c>
      <c r="E218" s="37"/>
      <c r="F218" s="37"/>
      <c r="G218" s="37"/>
      <c r="H218" s="13">
        <f>H219</f>
        <v>20000</v>
      </c>
      <c r="I218" s="13">
        <v>0</v>
      </c>
      <c r="J218" s="13">
        <v>0</v>
      </c>
      <c r="K218" s="13">
        <f>K219</f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01"/>
      <c r="V218" s="87">
        <f>V219</f>
        <v>20000</v>
      </c>
    </row>
    <row r="219" spans="1:22" ht="25.5">
      <c r="A219" s="56" t="s">
        <v>87</v>
      </c>
      <c r="B219" s="48" t="s">
        <v>157</v>
      </c>
      <c r="C219" s="10" t="s">
        <v>106</v>
      </c>
      <c r="D219" s="23">
        <v>5230200590</v>
      </c>
      <c r="E219" s="10">
        <v>244</v>
      </c>
      <c r="F219" s="10">
        <v>226</v>
      </c>
      <c r="G219" s="31"/>
      <c r="H219" s="14">
        <v>20000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20000</v>
      </c>
      <c r="T219" s="14">
        <v>0</v>
      </c>
      <c r="U219" s="100"/>
      <c r="V219" s="15">
        <f>SUM(I219:T219)</f>
        <v>20000</v>
      </c>
    </row>
    <row r="220" spans="1:22" ht="51">
      <c r="A220" s="62" t="s">
        <v>87</v>
      </c>
      <c r="B220" s="90" t="s">
        <v>118</v>
      </c>
      <c r="C220" s="37" t="s">
        <v>106</v>
      </c>
      <c r="D220" s="37">
        <v>6400000000</v>
      </c>
      <c r="E220" s="37"/>
      <c r="F220" s="37"/>
      <c r="G220" s="37"/>
      <c r="H220" s="13">
        <f aca="true" t="shared" si="59" ref="H220:T220">H221</f>
        <v>20000</v>
      </c>
      <c r="I220" s="13">
        <f t="shared" si="59"/>
        <v>0</v>
      </c>
      <c r="J220" s="13">
        <f t="shared" si="59"/>
        <v>0</v>
      </c>
      <c r="K220" s="13">
        <f t="shared" si="59"/>
        <v>0</v>
      </c>
      <c r="L220" s="13">
        <f t="shared" si="59"/>
        <v>0</v>
      </c>
      <c r="M220" s="13">
        <f t="shared" si="59"/>
        <v>0</v>
      </c>
      <c r="N220" s="13">
        <f t="shared" si="59"/>
        <v>0</v>
      </c>
      <c r="O220" s="13">
        <f t="shared" si="59"/>
        <v>0</v>
      </c>
      <c r="P220" s="13">
        <f t="shared" si="59"/>
        <v>0</v>
      </c>
      <c r="Q220" s="13">
        <f t="shared" si="59"/>
        <v>0</v>
      </c>
      <c r="R220" s="13">
        <f t="shared" si="59"/>
        <v>0</v>
      </c>
      <c r="S220" s="13">
        <f t="shared" si="59"/>
        <v>20000</v>
      </c>
      <c r="T220" s="13">
        <f t="shared" si="59"/>
        <v>0</v>
      </c>
      <c r="U220" s="101"/>
      <c r="V220" s="87">
        <f>SUM(I220:T220)</f>
        <v>20000</v>
      </c>
    </row>
    <row r="221" spans="1:22" ht="25.5">
      <c r="A221" s="56" t="s">
        <v>87</v>
      </c>
      <c r="B221" s="48" t="s">
        <v>157</v>
      </c>
      <c r="C221" s="10" t="s">
        <v>106</v>
      </c>
      <c r="D221" s="10">
        <v>6410110120</v>
      </c>
      <c r="E221" s="10">
        <v>244</v>
      </c>
      <c r="F221" s="10">
        <v>226</v>
      </c>
      <c r="G221" s="14"/>
      <c r="H221" s="14">
        <v>20000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20000</v>
      </c>
      <c r="T221" s="14">
        <v>0</v>
      </c>
      <c r="U221" s="100"/>
      <c r="V221" s="15">
        <f>SUM(I221:T221)</f>
        <v>20000</v>
      </c>
    </row>
    <row r="222" spans="1:22" ht="16.5" customHeight="1">
      <c r="A222" s="56"/>
      <c r="B222" s="23"/>
      <c r="C222" s="10"/>
      <c r="D222" s="10"/>
      <c r="E222" s="10"/>
      <c r="F222" s="10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00"/>
      <c r="V222" s="15">
        <f>SUM(I222:T222)</f>
        <v>0</v>
      </c>
    </row>
    <row r="223" spans="1:22" ht="12.75">
      <c r="A223" s="56"/>
      <c r="B223" s="25" t="s">
        <v>45</v>
      </c>
      <c r="C223" s="61" t="s">
        <v>106</v>
      </c>
      <c r="D223" s="23"/>
      <c r="E223" s="31"/>
      <c r="F223" s="31"/>
      <c r="G223" s="31"/>
      <c r="H223" s="30">
        <f>H219+H221+H216</f>
        <v>94000</v>
      </c>
      <c r="I223" s="30">
        <f aca="true" t="shared" si="60" ref="I223:T223">I219+I221+I216</f>
        <v>0</v>
      </c>
      <c r="J223" s="30">
        <f t="shared" si="60"/>
        <v>0</v>
      </c>
      <c r="K223" s="30">
        <f t="shared" si="60"/>
        <v>0</v>
      </c>
      <c r="L223" s="30">
        <f t="shared" si="60"/>
        <v>0</v>
      </c>
      <c r="M223" s="30">
        <f t="shared" si="60"/>
        <v>0</v>
      </c>
      <c r="N223" s="30">
        <f t="shared" si="60"/>
        <v>54000</v>
      </c>
      <c r="O223" s="30">
        <f t="shared" si="60"/>
        <v>0</v>
      </c>
      <c r="P223" s="30">
        <f t="shared" si="60"/>
        <v>0</v>
      </c>
      <c r="Q223" s="30">
        <f t="shared" si="60"/>
        <v>0</v>
      </c>
      <c r="R223" s="30">
        <f t="shared" si="60"/>
        <v>0</v>
      </c>
      <c r="S223" s="30">
        <f t="shared" si="60"/>
        <v>40000</v>
      </c>
      <c r="T223" s="30">
        <f t="shared" si="60"/>
        <v>0</v>
      </c>
      <c r="U223" s="102"/>
      <c r="V223" s="47">
        <f>SUM(I223:T223)</f>
        <v>94000</v>
      </c>
    </row>
    <row r="224" spans="1:22" ht="12.75">
      <c r="A224" s="56"/>
      <c r="B224" s="25"/>
      <c r="C224" s="61"/>
      <c r="D224" s="23"/>
      <c r="E224" s="31"/>
      <c r="F224" s="31"/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102"/>
      <c r="V224" s="47"/>
    </row>
    <row r="225" spans="1:22" ht="12.75">
      <c r="A225" s="66"/>
      <c r="B225" s="92" t="s">
        <v>63</v>
      </c>
      <c r="C225" s="44"/>
      <c r="D225" s="44"/>
      <c r="E225" s="44"/>
      <c r="F225" s="44"/>
      <c r="G225" s="45"/>
      <c r="H225" s="42">
        <f aca="true" t="shared" si="61" ref="H225:T225">H223</f>
        <v>94000</v>
      </c>
      <c r="I225" s="42">
        <f t="shared" si="61"/>
        <v>0</v>
      </c>
      <c r="J225" s="42">
        <f t="shared" si="61"/>
        <v>0</v>
      </c>
      <c r="K225" s="42">
        <f t="shared" si="61"/>
        <v>0</v>
      </c>
      <c r="L225" s="42">
        <f t="shared" si="61"/>
        <v>0</v>
      </c>
      <c r="M225" s="42">
        <f t="shared" si="61"/>
        <v>0</v>
      </c>
      <c r="N225" s="42">
        <f t="shared" si="61"/>
        <v>54000</v>
      </c>
      <c r="O225" s="42">
        <f t="shared" si="61"/>
        <v>0</v>
      </c>
      <c r="P225" s="42">
        <f t="shared" si="61"/>
        <v>0</v>
      </c>
      <c r="Q225" s="42">
        <f t="shared" si="61"/>
        <v>0</v>
      </c>
      <c r="R225" s="42">
        <f t="shared" si="61"/>
        <v>0</v>
      </c>
      <c r="S225" s="42">
        <f t="shared" si="61"/>
        <v>40000</v>
      </c>
      <c r="T225" s="42">
        <f t="shared" si="61"/>
        <v>0</v>
      </c>
      <c r="U225" s="104"/>
      <c r="V225" s="50">
        <f>SUM(I225:T225)</f>
        <v>94000</v>
      </c>
    </row>
    <row r="226" spans="1:22" ht="12.75">
      <c r="A226" s="60"/>
      <c r="B226" s="43"/>
      <c r="C226" s="16"/>
      <c r="D226" s="16"/>
      <c r="E226" s="16"/>
      <c r="F226" s="16"/>
      <c r="G226" s="10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00"/>
      <c r="V226" s="15">
        <f>SUM(I226:T226)</f>
        <v>0</v>
      </c>
    </row>
    <row r="227" spans="1:22" ht="66.75" customHeight="1">
      <c r="A227" s="62" t="s">
        <v>87</v>
      </c>
      <c r="B227" s="90" t="s">
        <v>128</v>
      </c>
      <c r="C227" s="37" t="s">
        <v>23</v>
      </c>
      <c r="D227" s="37">
        <v>6600000000</v>
      </c>
      <c r="E227" s="36"/>
      <c r="F227" s="36"/>
      <c r="G227" s="37"/>
      <c r="H227" s="13">
        <f aca="true" t="shared" si="62" ref="H227:T227">H229+H252+H267</f>
        <v>14043248</v>
      </c>
      <c r="I227" s="13">
        <f t="shared" si="62"/>
        <v>500800</v>
      </c>
      <c r="J227" s="13">
        <f t="shared" si="62"/>
        <v>1162700</v>
      </c>
      <c r="K227" s="13">
        <f t="shared" si="62"/>
        <v>1205200</v>
      </c>
      <c r="L227" s="13">
        <f t="shared" si="62"/>
        <v>1198022</v>
      </c>
      <c r="M227" s="13">
        <f t="shared" si="62"/>
        <v>1157933.7</v>
      </c>
      <c r="N227" s="13">
        <f t="shared" si="62"/>
        <v>1208500</v>
      </c>
      <c r="O227" s="13">
        <f t="shared" si="62"/>
        <v>1249039.38</v>
      </c>
      <c r="P227" s="13">
        <f t="shared" si="62"/>
        <v>1275093.9100000001</v>
      </c>
      <c r="Q227" s="13">
        <f t="shared" si="62"/>
        <v>1142090.8399999999</v>
      </c>
      <c r="R227" s="13">
        <f t="shared" si="62"/>
        <v>1323750.08</v>
      </c>
      <c r="S227" s="13">
        <f t="shared" si="62"/>
        <v>1384663.49</v>
      </c>
      <c r="T227" s="13">
        <f t="shared" si="62"/>
        <v>1235454.6</v>
      </c>
      <c r="U227" s="101"/>
      <c r="V227" s="87">
        <f>SUM(I227:T227)</f>
        <v>14043248</v>
      </c>
    </row>
    <row r="228" spans="1:22" ht="12.75">
      <c r="A228" s="60"/>
      <c r="B228" s="43"/>
      <c r="C228" s="12"/>
      <c r="D228" s="12"/>
      <c r="E228" s="12"/>
      <c r="F228" s="12"/>
      <c r="G228" s="31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104"/>
      <c r="V228" s="15">
        <f>SUM(I228:T228)</f>
        <v>0</v>
      </c>
    </row>
    <row r="229" spans="1:22" ht="76.5">
      <c r="A229" s="62" t="s">
        <v>87</v>
      </c>
      <c r="B229" s="90" t="s">
        <v>129</v>
      </c>
      <c r="C229" s="37" t="s">
        <v>23</v>
      </c>
      <c r="D229" s="37">
        <v>6610000000</v>
      </c>
      <c r="E229" s="36"/>
      <c r="F229" s="36"/>
      <c r="G229" s="37"/>
      <c r="H229" s="13">
        <f>H230+H231+H232+H233+H234+H235+H236+H237+H238+H245+H249+H250+H251</f>
        <v>10175748</v>
      </c>
      <c r="I229" s="13">
        <f aca="true" t="shared" si="63" ref="I229:V229">I230+I231+I232+I233+I234+I235+I236+I237+I238+I245+I249+I250+I251</f>
        <v>500800</v>
      </c>
      <c r="J229" s="13">
        <f t="shared" si="63"/>
        <v>851700</v>
      </c>
      <c r="K229" s="13">
        <f t="shared" si="63"/>
        <v>841200</v>
      </c>
      <c r="L229" s="13">
        <f t="shared" si="63"/>
        <v>855122</v>
      </c>
      <c r="M229" s="13">
        <f t="shared" si="63"/>
        <v>807533.7</v>
      </c>
      <c r="N229" s="13">
        <f t="shared" si="63"/>
        <v>892300</v>
      </c>
      <c r="O229" s="13">
        <f t="shared" si="63"/>
        <v>932839.38</v>
      </c>
      <c r="P229" s="13">
        <f t="shared" si="63"/>
        <v>958893.91</v>
      </c>
      <c r="Q229" s="13">
        <f t="shared" si="63"/>
        <v>824890.84</v>
      </c>
      <c r="R229" s="13">
        <f t="shared" si="63"/>
        <v>847550.08</v>
      </c>
      <c r="S229" s="13">
        <f t="shared" si="63"/>
        <v>972963.49</v>
      </c>
      <c r="T229" s="13">
        <f t="shared" si="63"/>
        <v>889954.6000000001</v>
      </c>
      <c r="U229" s="34"/>
      <c r="V229" s="13">
        <f t="shared" si="63"/>
        <v>10175748</v>
      </c>
    </row>
    <row r="230" spans="1:22" ht="96" customHeight="1">
      <c r="A230" s="56" t="s">
        <v>87</v>
      </c>
      <c r="B230" s="109" t="s">
        <v>178</v>
      </c>
      <c r="C230" s="10" t="s">
        <v>23</v>
      </c>
      <c r="D230" s="10">
        <v>6610100590</v>
      </c>
      <c r="E230" s="10">
        <v>611</v>
      </c>
      <c r="F230" s="10">
        <v>211</v>
      </c>
      <c r="G230" s="63" t="s">
        <v>227</v>
      </c>
      <c r="H230" s="14">
        <v>6248200</v>
      </c>
      <c r="I230" s="14">
        <f>198800-40901.7</f>
        <v>157898.3</v>
      </c>
      <c r="J230" s="14">
        <f>496900+25900+5361.94</f>
        <v>528161.94</v>
      </c>
      <c r="K230" s="14">
        <f>496900+25900-64439.38</f>
        <v>458360.62</v>
      </c>
      <c r="L230" s="14">
        <f>496900+25900</f>
        <v>522800</v>
      </c>
      <c r="M230" s="14">
        <f>496900+40901.7+25900</f>
        <v>563701.7</v>
      </c>
      <c r="N230" s="14">
        <f>496900+97900+25900</f>
        <v>620700</v>
      </c>
      <c r="O230" s="14">
        <f>496900+50000+25900+64439.38</f>
        <v>637239.38</v>
      </c>
      <c r="P230" s="14">
        <f>496900+50000+25900</f>
        <v>572800</v>
      </c>
      <c r="Q230" s="14">
        <f>496900+25900</f>
        <v>522800</v>
      </c>
      <c r="R230" s="14">
        <f>496900+25900</f>
        <v>522800</v>
      </c>
      <c r="S230" s="14">
        <f>596900+25900-5361.94</f>
        <v>617438.06</v>
      </c>
      <c r="T230" s="14">
        <f>496900+25900+700</f>
        <v>523500</v>
      </c>
      <c r="U230" s="100"/>
      <c r="V230" s="15">
        <f aca="true" t="shared" si="64" ref="V230:V274">SUM(I230:T230)</f>
        <v>6248200</v>
      </c>
    </row>
    <row r="231" spans="1:22" ht="108.75" customHeight="1">
      <c r="A231" s="56" t="s">
        <v>87</v>
      </c>
      <c r="B231" s="109" t="s">
        <v>179</v>
      </c>
      <c r="C231" s="10" t="s">
        <v>23</v>
      </c>
      <c r="D231" s="10">
        <v>6610100590</v>
      </c>
      <c r="E231" s="10">
        <v>611</v>
      </c>
      <c r="F231" s="10">
        <v>213</v>
      </c>
      <c r="G231" s="63" t="s">
        <v>228</v>
      </c>
      <c r="H231" s="14">
        <v>1886948</v>
      </c>
      <c r="I231" s="14">
        <v>0</v>
      </c>
      <c r="J231" s="14">
        <f>150100+13200+43890.19</f>
        <v>207190.19</v>
      </c>
      <c r="K231" s="14">
        <f>150100+13200-24875.09</f>
        <v>138424.91</v>
      </c>
      <c r="L231" s="14">
        <f>150100+13200</f>
        <v>163300</v>
      </c>
      <c r="M231" s="14">
        <f>150100+13200</f>
        <v>163300</v>
      </c>
      <c r="N231" s="14">
        <v>186600</v>
      </c>
      <c r="O231" s="14">
        <v>186600</v>
      </c>
      <c r="P231" s="14">
        <f>186600-43890.19+24875.09</f>
        <v>167584.9</v>
      </c>
      <c r="Q231" s="14">
        <v>163300</v>
      </c>
      <c r="R231" s="14">
        <v>163300</v>
      </c>
      <c r="S231" s="14">
        <v>183000</v>
      </c>
      <c r="T231" s="14">
        <v>164348</v>
      </c>
      <c r="U231" s="100"/>
      <c r="V231" s="15">
        <f t="shared" si="64"/>
        <v>1886948</v>
      </c>
    </row>
    <row r="232" spans="1:22" ht="141.75" customHeight="1">
      <c r="A232" s="56" t="s">
        <v>87</v>
      </c>
      <c r="B232" s="48" t="s">
        <v>194</v>
      </c>
      <c r="C232" s="10" t="s">
        <v>23</v>
      </c>
      <c r="D232" s="10">
        <v>6610100590</v>
      </c>
      <c r="E232" s="38">
        <v>611</v>
      </c>
      <c r="F232" s="38">
        <v>221</v>
      </c>
      <c r="G232" s="38" t="s">
        <v>212</v>
      </c>
      <c r="H232" s="29">
        <v>100800</v>
      </c>
      <c r="I232" s="14">
        <f>8400-7398.67</f>
        <v>1001.3299999999999</v>
      </c>
      <c r="J232" s="14">
        <f>8400-529.22</f>
        <v>7870.78</v>
      </c>
      <c r="K232" s="14">
        <f>8400+11484.13</f>
        <v>19884.129999999997</v>
      </c>
      <c r="L232" s="14">
        <v>8400</v>
      </c>
      <c r="M232" s="14">
        <v>8400</v>
      </c>
      <c r="N232" s="14">
        <v>8400</v>
      </c>
      <c r="O232" s="14">
        <v>8400</v>
      </c>
      <c r="P232" s="14">
        <v>8400</v>
      </c>
      <c r="Q232" s="14">
        <v>8400</v>
      </c>
      <c r="R232" s="14">
        <v>8400</v>
      </c>
      <c r="S232" s="14">
        <f>8400+529.22</f>
        <v>8929.22</v>
      </c>
      <c r="T232" s="14">
        <f>8400+7398.67-11484.13</f>
        <v>4314.540000000001</v>
      </c>
      <c r="U232" s="100"/>
      <c r="V232" s="15">
        <f t="shared" si="64"/>
        <v>100800</v>
      </c>
    </row>
    <row r="233" spans="1:22" ht="53.25" customHeight="1">
      <c r="A233" s="56" t="s">
        <v>87</v>
      </c>
      <c r="B233" s="48" t="s">
        <v>169</v>
      </c>
      <c r="C233" s="10" t="s">
        <v>23</v>
      </c>
      <c r="D233" s="10">
        <v>6610100590</v>
      </c>
      <c r="E233" s="38">
        <v>611</v>
      </c>
      <c r="F233" s="38">
        <v>221</v>
      </c>
      <c r="G233" s="38" t="s">
        <v>211</v>
      </c>
      <c r="H233" s="29">
        <v>37200</v>
      </c>
      <c r="I233" s="14">
        <v>0</v>
      </c>
      <c r="J233" s="14">
        <v>3100</v>
      </c>
      <c r="K233" s="14">
        <v>6200</v>
      </c>
      <c r="L233" s="14">
        <v>3100</v>
      </c>
      <c r="M233" s="14">
        <v>3100</v>
      </c>
      <c r="N233" s="14">
        <v>3100</v>
      </c>
      <c r="O233" s="14">
        <v>3100</v>
      </c>
      <c r="P233" s="14">
        <v>3100</v>
      </c>
      <c r="Q233" s="14">
        <v>3100</v>
      </c>
      <c r="R233" s="14">
        <v>3100</v>
      </c>
      <c r="S233" s="14">
        <v>3100</v>
      </c>
      <c r="T233" s="14">
        <v>3100</v>
      </c>
      <c r="U233" s="100"/>
      <c r="V233" s="15">
        <f t="shared" si="64"/>
        <v>37200</v>
      </c>
    </row>
    <row r="234" spans="1:22" ht="104.25" customHeight="1">
      <c r="A234" s="56" t="s">
        <v>87</v>
      </c>
      <c r="B234" s="110" t="s">
        <v>180</v>
      </c>
      <c r="C234" s="10" t="s">
        <v>23</v>
      </c>
      <c r="D234" s="10">
        <v>6610100590</v>
      </c>
      <c r="E234" s="38">
        <v>611</v>
      </c>
      <c r="F234" s="38">
        <v>223</v>
      </c>
      <c r="G234" s="70" t="s">
        <v>210</v>
      </c>
      <c r="H234" s="29">
        <v>233700</v>
      </c>
      <c r="I234" s="14">
        <f>19200-12774.96</f>
        <v>6425.040000000001</v>
      </c>
      <c r="J234" s="14">
        <f>19500+9500</f>
        <v>29000</v>
      </c>
      <c r="K234" s="14">
        <v>9500</v>
      </c>
      <c r="L234" s="14">
        <v>19500</v>
      </c>
      <c r="M234" s="14">
        <v>10000</v>
      </c>
      <c r="N234" s="14">
        <v>10000</v>
      </c>
      <c r="O234" s="14">
        <v>20000</v>
      </c>
      <c r="P234" s="14">
        <f>10000+12774.96</f>
        <v>22774.96</v>
      </c>
      <c r="Q234" s="14">
        <v>19500</v>
      </c>
      <c r="R234" s="14">
        <f>19500+9500</f>
        <v>29000</v>
      </c>
      <c r="S234" s="14">
        <f>19500+9500</f>
        <v>29000</v>
      </c>
      <c r="T234" s="14">
        <f>19500+9500</f>
        <v>29000</v>
      </c>
      <c r="U234" s="100"/>
      <c r="V234" s="15">
        <f t="shared" si="64"/>
        <v>233700</v>
      </c>
    </row>
    <row r="235" spans="1:22" ht="110.25" customHeight="1">
      <c r="A235" s="56" t="s">
        <v>87</v>
      </c>
      <c r="B235" s="48" t="s">
        <v>185</v>
      </c>
      <c r="C235" s="10" t="s">
        <v>23</v>
      </c>
      <c r="D235" s="10">
        <v>6610100590</v>
      </c>
      <c r="E235" s="38">
        <v>611</v>
      </c>
      <c r="F235" s="38">
        <v>223</v>
      </c>
      <c r="G235" s="70" t="s">
        <v>213</v>
      </c>
      <c r="H235" s="29">
        <v>25900</v>
      </c>
      <c r="I235" s="14">
        <v>0</v>
      </c>
      <c r="J235" s="14">
        <f>1500+1300+67.93</f>
        <v>2867.93</v>
      </c>
      <c r="K235" s="14">
        <f>2100+3635.86</f>
        <v>5735.860000000001</v>
      </c>
      <c r="L235" s="14">
        <v>2100</v>
      </c>
      <c r="M235" s="14">
        <v>2100</v>
      </c>
      <c r="N235" s="14">
        <v>2000</v>
      </c>
      <c r="O235" s="14">
        <v>2000</v>
      </c>
      <c r="P235" s="14">
        <v>2000</v>
      </c>
      <c r="Q235" s="14">
        <v>2100</v>
      </c>
      <c r="R235" s="14">
        <v>2100</v>
      </c>
      <c r="S235" s="14">
        <f>2100-67.93-635.86</f>
        <v>1396.21</v>
      </c>
      <c r="T235" s="14">
        <v>1500</v>
      </c>
      <c r="U235" s="100"/>
      <c r="V235" s="15">
        <f t="shared" si="64"/>
        <v>25900</v>
      </c>
    </row>
    <row r="236" spans="1:22" ht="100.5" customHeight="1">
      <c r="A236" s="56" t="s">
        <v>87</v>
      </c>
      <c r="B236" s="110" t="s">
        <v>180</v>
      </c>
      <c r="C236" s="10" t="s">
        <v>23</v>
      </c>
      <c r="D236" s="10">
        <v>6610100590</v>
      </c>
      <c r="E236" s="38">
        <v>611</v>
      </c>
      <c r="F236" s="38">
        <v>223</v>
      </c>
      <c r="G236" s="70" t="s">
        <v>65</v>
      </c>
      <c r="H236" s="29">
        <v>604000</v>
      </c>
      <c r="I236" s="14">
        <v>95097.33</v>
      </c>
      <c r="J236" s="14">
        <f>91900-40890.84</f>
        <v>51009.16</v>
      </c>
      <c r="K236" s="14">
        <f>90000-76734.05+40000</f>
        <v>53265.95</v>
      </c>
      <c r="L236" s="14">
        <v>60000</v>
      </c>
      <c r="M236" s="14">
        <v>0</v>
      </c>
      <c r="N236" s="14">
        <v>0</v>
      </c>
      <c r="O236" s="14">
        <v>0</v>
      </c>
      <c r="P236" s="14">
        <v>76734.05</v>
      </c>
      <c r="Q236" s="14">
        <v>40890.84</v>
      </c>
      <c r="R236" s="14">
        <v>67000</v>
      </c>
      <c r="S236" s="14">
        <f>100000-40000</f>
        <v>60000</v>
      </c>
      <c r="T236" s="14">
        <v>100002.67</v>
      </c>
      <c r="U236" s="100"/>
      <c r="V236" s="15">
        <f t="shared" si="64"/>
        <v>604000</v>
      </c>
    </row>
    <row r="237" spans="1:22" ht="100.5" customHeight="1">
      <c r="A237" s="56" t="s">
        <v>87</v>
      </c>
      <c r="B237" s="110" t="s">
        <v>180</v>
      </c>
      <c r="C237" s="10" t="s">
        <v>23</v>
      </c>
      <c r="D237" s="10">
        <v>6610100590</v>
      </c>
      <c r="E237" s="38">
        <v>611</v>
      </c>
      <c r="F237" s="38">
        <v>223</v>
      </c>
      <c r="G237" s="70" t="s">
        <v>214</v>
      </c>
      <c r="H237" s="29">
        <v>91600</v>
      </c>
      <c r="I237" s="14">
        <v>20000</v>
      </c>
      <c r="J237" s="14">
        <v>18300</v>
      </c>
      <c r="K237" s="14">
        <v>10000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8400</v>
      </c>
      <c r="S237" s="14">
        <f>18300-1700</f>
        <v>16600</v>
      </c>
      <c r="T237" s="14">
        <v>18300</v>
      </c>
      <c r="U237" s="100"/>
      <c r="V237" s="15">
        <f t="shared" si="64"/>
        <v>91600</v>
      </c>
    </row>
    <row r="238" spans="1:22" ht="114" customHeight="1">
      <c r="A238" s="56" t="s">
        <v>87</v>
      </c>
      <c r="B238" s="48" t="s">
        <v>184</v>
      </c>
      <c r="C238" s="10" t="s">
        <v>23</v>
      </c>
      <c r="D238" s="10">
        <v>6610100590</v>
      </c>
      <c r="E238" s="38">
        <v>611</v>
      </c>
      <c r="F238" s="38">
        <v>225</v>
      </c>
      <c r="G238" s="70">
        <v>225</v>
      </c>
      <c r="H238" s="29">
        <f>48100+59500</f>
        <v>107600</v>
      </c>
      <c r="I238" s="14">
        <v>10600</v>
      </c>
      <c r="J238" s="14">
        <f>10000-5800</f>
        <v>4200</v>
      </c>
      <c r="K238" s="14">
        <f>10000+14068</f>
        <v>24068</v>
      </c>
      <c r="L238" s="14">
        <f>6000+5800</f>
        <v>11800</v>
      </c>
      <c r="M238" s="14">
        <f>16000-14068</f>
        <v>1932</v>
      </c>
      <c r="N238" s="14">
        <v>14000</v>
      </c>
      <c r="O238" s="14">
        <v>10500</v>
      </c>
      <c r="P238" s="14">
        <v>10500</v>
      </c>
      <c r="Q238" s="14">
        <v>10000</v>
      </c>
      <c r="R238" s="14">
        <v>5000</v>
      </c>
      <c r="S238" s="14">
        <v>5000</v>
      </c>
      <c r="T238" s="14">
        <v>0</v>
      </c>
      <c r="U238" s="100"/>
      <c r="V238" s="15">
        <f t="shared" si="64"/>
        <v>107600</v>
      </c>
    </row>
    <row r="239" spans="1:22" ht="12.75" hidden="1">
      <c r="A239" s="56" t="s">
        <v>87</v>
      </c>
      <c r="B239" s="23" t="s">
        <v>13</v>
      </c>
      <c r="C239" s="16" t="s">
        <v>23</v>
      </c>
      <c r="D239" s="10">
        <v>6610100590</v>
      </c>
      <c r="E239" s="51">
        <v>611</v>
      </c>
      <c r="F239" s="51">
        <v>226</v>
      </c>
      <c r="G239" s="70" t="s">
        <v>43</v>
      </c>
      <c r="H239" s="29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00"/>
      <c r="V239" s="15">
        <f t="shared" si="64"/>
        <v>0</v>
      </c>
    </row>
    <row r="240" spans="1:22" ht="12.75" hidden="1">
      <c r="A240" s="56" t="s">
        <v>87</v>
      </c>
      <c r="B240" s="23" t="s">
        <v>15</v>
      </c>
      <c r="C240" s="16" t="s">
        <v>23</v>
      </c>
      <c r="D240" s="10">
        <v>6610100590</v>
      </c>
      <c r="E240" s="51">
        <v>611</v>
      </c>
      <c r="F240" s="51">
        <v>340</v>
      </c>
      <c r="G240" s="70" t="s">
        <v>43</v>
      </c>
      <c r="H240" s="29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00"/>
      <c r="V240" s="15">
        <f t="shared" si="64"/>
        <v>0</v>
      </c>
    </row>
    <row r="241" spans="1:22" ht="12.75" hidden="1">
      <c r="A241" s="56" t="s">
        <v>87</v>
      </c>
      <c r="B241" s="23" t="s">
        <v>16</v>
      </c>
      <c r="C241" s="16" t="s">
        <v>23</v>
      </c>
      <c r="D241" s="10">
        <v>6610100590</v>
      </c>
      <c r="E241" s="51">
        <v>611</v>
      </c>
      <c r="F241" s="51">
        <v>310</v>
      </c>
      <c r="G241" s="70" t="s">
        <v>43</v>
      </c>
      <c r="H241" s="29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00"/>
      <c r="V241" s="15">
        <f t="shared" si="64"/>
        <v>0</v>
      </c>
    </row>
    <row r="242" spans="1:22" ht="12.75" hidden="1">
      <c r="A242" s="56" t="s">
        <v>87</v>
      </c>
      <c r="B242" s="23" t="s">
        <v>5</v>
      </c>
      <c r="C242" s="16" t="s">
        <v>23</v>
      </c>
      <c r="D242" s="10">
        <v>6610100590</v>
      </c>
      <c r="E242" s="51">
        <v>611</v>
      </c>
      <c r="F242" s="51">
        <v>211</v>
      </c>
      <c r="G242" s="38" t="s">
        <v>64</v>
      </c>
      <c r="H242" s="29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00"/>
      <c r="V242" s="15">
        <f t="shared" si="64"/>
        <v>0</v>
      </c>
    </row>
    <row r="243" spans="1:22" ht="12.75" hidden="1">
      <c r="A243" s="56" t="s">
        <v>87</v>
      </c>
      <c r="B243" s="23" t="s">
        <v>7</v>
      </c>
      <c r="C243" s="16" t="s">
        <v>23</v>
      </c>
      <c r="D243" s="10">
        <v>6610100590</v>
      </c>
      <c r="E243" s="51">
        <v>611</v>
      </c>
      <c r="F243" s="51">
        <v>213</v>
      </c>
      <c r="G243" s="38" t="s">
        <v>64</v>
      </c>
      <c r="H243" s="29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00"/>
      <c r="V243" s="15">
        <f t="shared" si="64"/>
        <v>0</v>
      </c>
    </row>
    <row r="244" spans="1:22" ht="25.5" hidden="1">
      <c r="A244" s="56" t="s">
        <v>87</v>
      </c>
      <c r="B244" s="63" t="s">
        <v>60</v>
      </c>
      <c r="C244" s="10" t="s">
        <v>23</v>
      </c>
      <c r="D244" s="10">
        <v>6610100590</v>
      </c>
      <c r="E244" s="38">
        <v>611</v>
      </c>
      <c r="F244" s="38">
        <v>225</v>
      </c>
      <c r="G244" s="38" t="s">
        <v>64</v>
      </c>
      <c r="H244" s="29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00"/>
      <c r="V244" s="15">
        <f t="shared" si="64"/>
        <v>0</v>
      </c>
    </row>
    <row r="245" spans="1:22" ht="108.75" customHeight="1">
      <c r="A245" s="56" t="s">
        <v>87</v>
      </c>
      <c r="B245" s="48" t="s">
        <v>184</v>
      </c>
      <c r="C245" s="10" t="s">
        <v>23</v>
      </c>
      <c r="D245" s="10">
        <v>6610100590</v>
      </c>
      <c r="E245" s="38">
        <v>611</v>
      </c>
      <c r="F245" s="38">
        <v>226</v>
      </c>
      <c r="G245" s="38">
        <v>226</v>
      </c>
      <c r="H245" s="29">
        <f>40000+83000+47000+60100+58000+10000+20000+57000+57000</f>
        <v>432100</v>
      </c>
      <c r="I245" s="14">
        <v>50000</v>
      </c>
      <c r="J245" s="14">
        <v>0</v>
      </c>
      <c r="K245" s="14">
        <f>26100-1528.39+33849.92</f>
        <v>58421.53</v>
      </c>
      <c r="L245" s="14">
        <v>35000</v>
      </c>
      <c r="M245" s="14">
        <v>50000</v>
      </c>
      <c r="N245" s="14">
        <v>32500</v>
      </c>
      <c r="O245" s="14">
        <v>50000</v>
      </c>
      <c r="P245" s="14">
        <v>50000</v>
      </c>
      <c r="Q245" s="14">
        <v>50000</v>
      </c>
      <c r="R245" s="14">
        <f>50000-33849.92</f>
        <v>16150.080000000002</v>
      </c>
      <c r="S245" s="14">
        <v>38500</v>
      </c>
      <c r="T245" s="14">
        <v>1528.39</v>
      </c>
      <c r="U245" s="100"/>
      <c r="V245" s="15">
        <f t="shared" si="64"/>
        <v>432100.00000000006</v>
      </c>
    </row>
    <row r="246" spans="1:22" ht="15.75" customHeight="1" hidden="1">
      <c r="A246" s="56" t="s">
        <v>37</v>
      </c>
      <c r="B246" s="23" t="s">
        <v>16</v>
      </c>
      <c r="C246" s="16" t="s">
        <v>23</v>
      </c>
      <c r="D246" s="51">
        <v>8220100270</v>
      </c>
      <c r="E246" s="51">
        <v>611</v>
      </c>
      <c r="F246" s="51">
        <v>310</v>
      </c>
      <c r="G246" s="38" t="s">
        <v>64</v>
      </c>
      <c r="H246" s="29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00"/>
      <c r="V246" s="15">
        <f t="shared" si="64"/>
        <v>0</v>
      </c>
    </row>
    <row r="247" spans="1:22" ht="12.75" hidden="1">
      <c r="A247" s="56" t="s">
        <v>37</v>
      </c>
      <c r="B247" s="23" t="s">
        <v>5</v>
      </c>
      <c r="C247" s="16" t="s">
        <v>23</v>
      </c>
      <c r="D247" s="51">
        <v>8220100270</v>
      </c>
      <c r="E247" s="51">
        <v>611</v>
      </c>
      <c r="F247" s="51">
        <v>211</v>
      </c>
      <c r="G247" s="38" t="s">
        <v>66</v>
      </c>
      <c r="H247" s="29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00"/>
      <c r="V247" s="15">
        <f t="shared" si="64"/>
        <v>0</v>
      </c>
    </row>
    <row r="248" spans="1:22" ht="12.75" hidden="1">
      <c r="A248" s="56" t="s">
        <v>37</v>
      </c>
      <c r="B248" s="23" t="s">
        <v>7</v>
      </c>
      <c r="C248" s="16" t="s">
        <v>23</v>
      </c>
      <c r="D248" s="51">
        <v>8220100270</v>
      </c>
      <c r="E248" s="51">
        <v>611</v>
      </c>
      <c r="F248" s="51">
        <v>213</v>
      </c>
      <c r="G248" s="38" t="s">
        <v>66</v>
      </c>
      <c r="H248" s="29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00"/>
      <c r="V248" s="15">
        <f t="shared" si="64"/>
        <v>0</v>
      </c>
    </row>
    <row r="249" spans="1:22" ht="102">
      <c r="A249" s="56" t="s">
        <v>87</v>
      </c>
      <c r="B249" s="48" t="s">
        <v>215</v>
      </c>
      <c r="C249" s="10" t="s">
        <v>23</v>
      </c>
      <c r="D249" s="10">
        <v>6610100590</v>
      </c>
      <c r="E249" s="38">
        <v>611</v>
      </c>
      <c r="F249" s="38">
        <v>340</v>
      </c>
      <c r="G249" s="38">
        <v>340</v>
      </c>
      <c r="H249" s="29">
        <f>10000+50000+20000+30000+30000-16100+97700</f>
        <v>221600</v>
      </c>
      <c r="I249" s="14">
        <f>11600-4800+21000</f>
        <v>27800</v>
      </c>
      <c r="J249" s="14">
        <v>0</v>
      </c>
      <c r="K249" s="14">
        <f>25000+32339</f>
        <v>57339</v>
      </c>
      <c r="L249" s="14">
        <v>5000</v>
      </c>
      <c r="M249" s="14">
        <v>5000</v>
      </c>
      <c r="N249" s="14">
        <v>15000</v>
      </c>
      <c r="O249" s="14">
        <v>15000</v>
      </c>
      <c r="P249" s="14">
        <v>15000</v>
      </c>
      <c r="Q249" s="14">
        <v>4800</v>
      </c>
      <c r="R249" s="14">
        <f>38400-16100</f>
        <v>22300</v>
      </c>
      <c r="S249" s="14">
        <v>10000</v>
      </c>
      <c r="T249" s="14">
        <f>97700-21000-32339</f>
        <v>44361</v>
      </c>
      <c r="U249" s="100"/>
      <c r="V249" s="15">
        <f t="shared" si="64"/>
        <v>221600</v>
      </c>
    </row>
    <row r="250" spans="1:22" ht="102">
      <c r="A250" s="56" t="s">
        <v>87</v>
      </c>
      <c r="B250" s="48" t="s">
        <v>216</v>
      </c>
      <c r="C250" s="10" t="s">
        <v>23</v>
      </c>
      <c r="D250" s="10">
        <v>6610100590</v>
      </c>
      <c r="E250" s="38">
        <v>611</v>
      </c>
      <c r="F250" s="38">
        <v>310</v>
      </c>
      <c r="G250" s="38">
        <v>310</v>
      </c>
      <c r="H250" s="29">
        <v>116100</v>
      </c>
      <c r="I250" s="14">
        <v>116100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00"/>
      <c r="V250" s="15">
        <f t="shared" si="64"/>
        <v>116100</v>
      </c>
    </row>
    <row r="251" spans="1:22" ht="114.75">
      <c r="A251" s="56" t="s">
        <v>87</v>
      </c>
      <c r="B251" s="48" t="s">
        <v>182</v>
      </c>
      <c r="C251" s="10" t="s">
        <v>23</v>
      </c>
      <c r="D251" s="10">
        <v>6610100590</v>
      </c>
      <c r="E251" s="38">
        <v>611</v>
      </c>
      <c r="F251" s="38">
        <v>290</v>
      </c>
      <c r="G251" s="29"/>
      <c r="H251" s="29">
        <v>70000</v>
      </c>
      <c r="I251" s="14">
        <f>40000-24122</f>
        <v>15878</v>
      </c>
      <c r="J251" s="14">
        <v>0</v>
      </c>
      <c r="K251" s="14">
        <v>0</v>
      </c>
      <c r="L251" s="14">
        <v>24122</v>
      </c>
      <c r="M251" s="14">
        <v>0</v>
      </c>
      <c r="N251" s="14">
        <v>0</v>
      </c>
      <c r="O251" s="14">
        <v>0</v>
      </c>
      <c r="P251" s="14">
        <v>30000</v>
      </c>
      <c r="Q251" s="14">
        <v>0</v>
      </c>
      <c r="R251" s="14">
        <v>0</v>
      </c>
      <c r="S251" s="14">
        <v>0</v>
      </c>
      <c r="T251" s="14">
        <v>0</v>
      </c>
      <c r="U251" s="100"/>
      <c r="V251" s="15">
        <f t="shared" si="64"/>
        <v>70000</v>
      </c>
    </row>
    <row r="252" spans="1:22" ht="63.75">
      <c r="A252" s="62" t="s">
        <v>87</v>
      </c>
      <c r="B252" s="90" t="s">
        <v>130</v>
      </c>
      <c r="C252" s="37" t="s">
        <v>23</v>
      </c>
      <c r="D252" s="37">
        <v>6620000000</v>
      </c>
      <c r="E252" s="37"/>
      <c r="F252" s="37"/>
      <c r="G252" s="37"/>
      <c r="H252" s="13">
        <f aca="true" t="shared" si="65" ref="H252:T252">H253+H254+H255+H256+H257+H258</f>
        <v>3423300</v>
      </c>
      <c r="I252" s="13">
        <f t="shared" si="65"/>
        <v>0</v>
      </c>
      <c r="J252" s="13">
        <f t="shared" si="65"/>
        <v>311000</v>
      </c>
      <c r="K252" s="13">
        <f t="shared" si="65"/>
        <v>311000</v>
      </c>
      <c r="L252" s="13">
        <f t="shared" si="65"/>
        <v>311200</v>
      </c>
      <c r="M252" s="13">
        <f t="shared" si="65"/>
        <v>311200</v>
      </c>
      <c r="N252" s="13">
        <f t="shared" si="65"/>
        <v>311200</v>
      </c>
      <c r="O252" s="13">
        <f t="shared" si="65"/>
        <v>311200</v>
      </c>
      <c r="P252" s="13">
        <f t="shared" si="65"/>
        <v>311200</v>
      </c>
      <c r="Q252" s="13">
        <f t="shared" si="65"/>
        <v>311200</v>
      </c>
      <c r="R252" s="13">
        <f t="shared" si="65"/>
        <v>311200</v>
      </c>
      <c r="S252" s="13">
        <f t="shared" si="65"/>
        <v>311700</v>
      </c>
      <c r="T252" s="13">
        <f t="shared" si="65"/>
        <v>311200</v>
      </c>
      <c r="U252" s="101"/>
      <c r="V252" s="87">
        <f t="shared" si="64"/>
        <v>3423300</v>
      </c>
    </row>
    <row r="253" spans="1:22" ht="93.75" customHeight="1">
      <c r="A253" s="56" t="s">
        <v>87</v>
      </c>
      <c r="B253" s="109" t="s">
        <v>186</v>
      </c>
      <c r="C253" s="10" t="s">
        <v>23</v>
      </c>
      <c r="D253" s="10">
        <v>6620110410</v>
      </c>
      <c r="E253" s="10">
        <v>611</v>
      </c>
      <c r="F253" s="10">
        <v>211</v>
      </c>
      <c r="G253" s="132" t="s">
        <v>80</v>
      </c>
      <c r="H253" s="14">
        <v>2629300</v>
      </c>
      <c r="I253" s="14">
        <v>0</v>
      </c>
      <c r="J253" s="14">
        <f>239000-136.72</f>
        <v>238863.28</v>
      </c>
      <c r="K253" s="14">
        <f>239000-136.71</f>
        <v>238863.29</v>
      </c>
      <c r="L253" s="14">
        <v>239000</v>
      </c>
      <c r="M253" s="14">
        <v>239000</v>
      </c>
      <c r="N253" s="14">
        <v>239000</v>
      </c>
      <c r="O253" s="14">
        <v>239000</v>
      </c>
      <c r="P253" s="14">
        <v>239000</v>
      </c>
      <c r="Q253" s="14">
        <v>239000</v>
      </c>
      <c r="R253" s="14">
        <v>239000</v>
      </c>
      <c r="S253" s="14">
        <f>239300+136.71</f>
        <v>239436.71</v>
      </c>
      <c r="T253" s="14">
        <f>239000+136.72</f>
        <v>239136.72</v>
      </c>
      <c r="U253" s="100"/>
      <c r="V253" s="15">
        <f t="shared" si="64"/>
        <v>2629300.0000000005</v>
      </c>
    </row>
    <row r="254" spans="1:22" ht="132" customHeight="1">
      <c r="A254" s="56" t="s">
        <v>87</v>
      </c>
      <c r="B254" s="109" t="s">
        <v>195</v>
      </c>
      <c r="C254" s="10" t="s">
        <v>23</v>
      </c>
      <c r="D254" s="10">
        <v>6620110410</v>
      </c>
      <c r="E254" s="10">
        <v>611</v>
      </c>
      <c r="F254" s="10">
        <v>213</v>
      </c>
      <c r="G254" s="132"/>
      <c r="H254" s="14">
        <v>794000</v>
      </c>
      <c r="I254" s="14">
        <v>0</v>
      </c>
      <c r="J254" s="14">
        <f>72000+136.72</f>
        <v>72136.72</v>
      </c>
      <c r="K254" s="14">
        <f>72200-63.29</f>
        <v>72136.71</v>
      </c>
      <c r="L254" s="14">
        <v>72200</v>
      </c>
      <c r="M254" s="14">
        <v>72200</v>
      </c>
      <c r="N254" s="14">
        <v>72200</v>
      </c>
      <c r="O254" s="14">
        <v>72200</v>
      </c>
      <c r="P254" s="14">
        <v>72200</v>
      </c>
      <c r="Q254" s="14">
        <v>72200</v>
      </c>
      <c r="R254" s="14">
        <v>72200</v>
      </c>
      <c r="S254" s="14">
        <f>72200+63.29</f>
        <v>72263.29</v>
      </c>
      <c r="T254" s="14">
        <f>72200-136.72</f>
        <v>72063.28</v>
      </c>
      <c r="U254" s="100"/>
      <c r="V254" s="15">
        <f t="shared" si="64"/>
        <v>794000</v>
      </c>
    </row>
    <row r="255" spans="1:22" ht="46.5" customHeight="1" hidden="1">
      <c r="A255" s="56" t="s">
        <v>37</v>
      </c>
      <c r="B255" s="23" t="s">
        <v>5</v>
      </c>
      <c r="C255" s="16" t="s">
        <v>23</v>
      </c>
      <c r="D255" s="16">
        <v>8230110410</v>
      </c>
      <c r="E255" s="16">
        <v>611</v>
      </c>
      <c r="F255" s="16">
        <v>211</v>
      </c>
      <c r="G255" s="132"/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00"/>
      <c r="V255" s="15">
        <f t="shared" si="64"/>
        <v>0</v>
      </c>
    </row>
    <row r="256" spans="1:22" ht="45.75" customHeight="1" hidden="1">
      <c r="A256" s="56" t="s">
        <v>37</v>
      </c>
      <c r="B256" s="23" t="s">
        <v>7</v>
      </c>
      <c r="C256" s="16" t="s">
        <v>23</v>
      </c>
      <c r="D256" s="16">
        <v>8230110410</v>
      </c>
      <c r="E256" s="16">
        <v>611</v>
      </c>
      <c r="F256" s="16">
        <v>213</v>
      </c>
      <c r="G256" s="132"/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00"/>
      <c r="V256" s="15">
        <f t="shared" si="64"/>
        <v>0</v>
      </c>
    </row>
    <row r="257" spans="1:22" ht="67.5" customHeight="1" hidden="1">
      <c r="A257" s="56" t="s">
        <v>37</v>
      </c>
      <c r="B257" s="23" t="s">
        <v>5</v>
      </c>
      <c r="C257" s="16" t="s">
        <v>23</v>
      </c>
      <c r="D257" s="16">
        <v>8230110410</v>
      </c>
      <c r="E257" s="16">
        <v>611</v>
      </c>
      <c r="F257" s="16">
        <v>211</v>
      </c>
      <c r="G257" s="132"/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00"/>
      <c r="V257" s="15">
        <f t="shared" si="64"/>
        <v>0</v>
      </c>
    </row>
    <row r="258" spans="1:22" ht="53.25" customHeight="1" hidden="1">
      <c r="A258" s="56" t="s">
        <v>37</v>
      </c>
      <c r="B258" s="23" t="s">
        <v>7</v>
      </c>
      <c r="C258" s="16" t="s">
        <v>23</v>
      </c>
      <c r="D258" s="16">
        <v>8230110410</v>
      </c>
      <c r="E258" s="16">
        <v>611</v>
      </c>
      <c r="F258" s="16">
        <v>213</v>
      </c>
      <c r="G258" s="132"/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00"/>
      <c r="V258" s="15">
        <f t="shared" si="64"/>
        <v>0</v>
      </c>
    </row>
    <row r="259" spans="1:22" ht="12.75" hidden="1">
      <c r="A259" s="56"/>
      <c r="B259" s="23"/>
      <c r="C259" s="16"/>
      <c r="D259" s="16"/>
      <c r="E259" s="16"/>
      <c r="F259" s="16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00"/>
      <c r="V259" s="15">
        <f t="shared" si="64"/>
        <v>0</v>
      </c>
    </row>
    <row r="260" spans="1:22" ht="12.75" hidden="1">
      <c r="A260" s="56"/>
      <c r="B260" s="23"/>
      <c r="C260" s="16"/>
      <c r="D260" s="16"/>
      <c r="E260" s="16"/>
      <c r="F260" s="16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00"/>
      <c r="V260" s="15">
        <f t="shared" si="64"/>
        <v>0</v>
      </c>
    </row>
    <row r="261" spans="1:22" ht="12.75" hidden="1">
      <c r="A261" s="56"/>
      <c r="B261" s="23"/>
      <c r="C261" s="16"/>
      <c r="D261" s="16"/>
      <c r="E261" s="16"/>
      <c r="F261" s="16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00"/>
      <c r="V261" s="15">
        <f t="shared" si="64"/>
        <v>0</v>
      </c>
    </row>
    <row r="262" spans="1:22" ht="12.75" hidden="1">
      <c r="A262" s="56"/>
      <c r="B262" s="23"/>
      <c r="C262" s="16"/>
      <c r="D262" s="16"/>
      <c r="E262" s="16"/>
      <c r="F262" s="16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00"/>
      <c r="V262" s="15">
        <f t="shared" si="64"/>
        <v>0</v>
      </c>
    </row>
    <row r="263" spans="1:22" ht="12.75" hidden="1">
      <c r="A263" s="56"/>
      <c r="B263" s="23"/>
      <c r="C263" s="16"/>
      <c r="D263" s="16"/>
      <c r="E263" s="16"/>
      <c r="F263" s="16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00"/>
      <c r="V263" s="15">
        <f t="shared" si="64"/>
        <v>0</v>
      </c>
    </row>
    <row r="264" spans="1:22" ht="12.75" hidden="1">
      <c r="A264" s="56"/>
      <c r="B264" s="23"/>
      <c r="C264" s="16"/>
      <c r="D264" s="16"/>
      <c r="E264" s="16"/>
      <c r="F264" s="16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00"/>
      <c r="V264" s="15">
        <f t="shared" si="64"/>
        <v>0</v>
      </c>
    </row>
    <row r="265" spans="1:22" ht="12.75" hidden="1">
      <c r="A265" s="56"/>
      <c r="B265" s="23"/>
      <c r="C265" s="16"/>
      <c r="D265" s="16"/>
      <c r="E265" s="16"/>
      <c r="F265" s="16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00"/>
      <c r="V265" s="15">
        <f t="shared" si="64"/>
        <v>0</v>
      </c>
    </row>
    <row r="266" spans="1:22" ht="12.75">
      <c r="A266" s="56"/>
      <c r="B266" s="23"/>
      <c r="C266" s="16"/>
      <c r="D266" s="16"/>
      <c r="E266" s="16"/>
      <c r="F266" s="16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00"/>
      <c r="V266" s="15">
        <f t="shared" si="64"/>
        <v>0</v>
      </c>
    </row>
    <row r="267" spans="1:22" ht="51">
      <c r="A267" s="62" t="s">
        <v>87</v>
      </c>
      <c r="B267" s="90" t="s">
        <v>131</v>
      </c>
      <c r="C267" s="37" t="s">
        <v>23</v>
      </c>
      <c r="D267" s="37">
        <v>6630000000</v>
      </c>
      <c r="E267" s="37"/>
      <c r="F267" s="37"/>
      <c r="G267" s="37"/>
      <c r="H267" s="13">
        <f aca="true" t="shared" si="66" ref="H267:T267">H268</f>
        <v>444200</v>
      </c>
      <c r="I267" s="13">
        <f t="shared" si="66"/>
        <v>0</v>
      </c>
      <c r="J267" s="13">
        <f t="shared" si="66"/>
        <v>0</v>
      </c>
      <c r="K267" s="13">
        <f t="shared" si="66"/>
        <v>53000</v>
      </c>
      <c r="L267" s="13">
        <f t="shared" si="66"/>
        <v>31700</v>
      </c>
      <c r="M267" s="13">
        <f t="shared" si="66"/>
        <v>39200</v>
      </c>
      <c r="N267" s="13">
        <f t="shared" si="66"/>
        <v>5000</v>
      </c>
      <c r="O267" s="13">
        <f t="shared" si="66"/>
        <v>5000</v>
      </c>
      <c r="P267" s="13">
        <f t="shared" si="66"/>
        <v>5000</v>
      </c>
      <c r="Q267" s="13">
        <f t="shared" si="66"/>
        <v>6000</v>
      </c>
      <c r="R267" s="13">
        <f t="shared" si="66"/>
        <v>165000</v>
      </c>
      <c r="S267" s="13">
        <f t="shared" si="66"/>
        <v>100000</v>
      </c>
      <c r="T267" s="13">
        <f t="shared" si="66"/>
        <v>34300</v>
      </c>
      <c r="U267" s="101"/>
      <c r="V267" s="87">
        <f t="shared" si="64"/>
        <v>444200</v>
      </c>
    </row>
    <row r="268" spans="1:22" ht="114.75">
      <c r="A268" s="56" t="s">
        <v>87</v>
      </c>
      <c r="B268" s="48" t="s">
        <v>183</v>
      </c>
      <c r="C268" s="10" t="s">
        <v>23</v>
      </c>
      <c r="D268" s="10">
        <v>6630100320</v>
      </c>
      <c r="E268" s="10">
        <v>611</v>
      </c>
      <c r="F268" s="23">
        <v>290</v>
      </c>
      <c r="G268" s="14"/>
      <c r="H268" s="14">
        <v>444200</v>
      </c>
      <c r="I268" s="14">
        <v>0</v>
      </c>
      <c r="J268" s="14">
        <v>0</v>
      </c>
      <c r="K268" s="14">
        <f>31500+21500</f>
        <v>53000</v>
      </c>
      <c r="L268" s="14">
        <v>31700</v>
      </c>
      <c r="M268" s="14">
        <v>39200</v>
      </c>
      <c r="N268" s="14">
        <v>5000</v>
      </c>
      <c r="O268" s="14">
        <v>5000</v>
      </c>
      <c r="P268" s="14">
        <v>5000</v>
      </c>
      <c r="Q268" s="14">
        <f>20800+22800+19467.33-57067.33</f>
        <v>6000</v>
      </c>
      <c r="R268" s="14">
        <v>165000</v>
      </c>
      <c r="S268" s="14">
        <v>100000</v>
      </c>
      <c r="T268" s="14">
        <v>34300</v>
      </c>
      <c r="U268" s="100"/>
      <c r="V268" s="15">
        <f t="shared" si="64"/>
        <v>444200</v>
      </c>
    </row>
    <row r="269" spans="1:22" ht="12.75">
      <c r="A269" s="56"/>
      <c r="B269" s="23"/>
      <c r="C269" s="16"/>
      <c r="D269" s="16"/>
      <c r="E269" s="16"/>
      <c r="F269" s="28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00"/>
      <c r="V269" s="15">
        <f t="shared" si="64"/>
        <v>0</v>
      </c>
    </row>
    <row r="270" spans="1:22" ht="102">
      <c r="A270" s="62" t="s">
        <v>87</v>
      </c>
      <c r="B270" s="90" t="s">
        <v>132</v>
      </c>
      <c r="C270" s="37" t="s">
        <v>23</v>
      </c>
      <c r="D270" s="37">
        <v>6700000000</v>
      </c>
      <c r="E270" s="37"/>
      <c r="F270" s="37"/>
      <c r="G270" s="37"/>
      <c r="H270" s="13">
        <f aca="true" t="shared" si="67" ref="H270:T270">H271</f>
        <v>50000</v>
      </c>
      <c r="I270" s="13">
        <f t="shared" si="67"/>
        <v>0</v>
      </c>
      <c r="J270" s="13">
        <f t="shared" si="67"/>
        <v>0</v>
      </c>
      <c r="K270" s="13">
        <f t="shared" si="67"/>
        <v>0</v>
      </c>
      <c r="L270" s="13">
        <f t="shared" si="67"/>
        <v>50000</v>
      </c>
      <c r="M270" s="13">
        <f t="shared" si="67"/>
        <v>0</v>
      </c>
      <c r="N270" s="13">
        <f t="shared" si="67"/>
        <v>0</v>
      </c>
      <c r="O270" s="13">
        <f t="shared" si="67"/>
        <v>0</v>
      </c>
      <c r="P270" s="13">
        <f t="shared" si="67"/>
        <v>0</v>
      </c>
      <c r="Q270" s="13">
        <f t="shared" si="67"/>
        <v>0</v>
      </c>
      <c r="R270" s="13">
        <f t="shared" si="67"/>
        <v>0</v>
      </c>
      <c r="S270" s="13">
        <f t="shared" si="67"/>
        <v>0</v>
      </c>
      <c r="T270" s="13">
        <f t="shared" si="67"/>
        <v>0</v>
      </c>
      <c r="U270" s="101"/>
      <c r="V270" s="87">
        <f t="shared" si="64"/>
        <v>50000</v>
      </c>
    </row>
    <row r="271" spans="1:22" ht="33" customHeight="1">
      <c r="A271" s="56" t="s">
        <v>87</v>
      </c>
      <c r="B271" s="63" t="s">
        <v>157</v>
      </c>
      <c r="C271" s="10" t="s">
        <v>23</v>
      </c>
      <c r="D271" s="10">
        <v>6710110310</v>
      </c>
      <c r="E271" s="10">
        <v>244</v>
      </c>
      <c r="F271" s="10">
        <v>225</v>
      </c>
      <c r="G271" s="14"/>
      <c r="H271" s="14">
        <v>50000</v>
      </c>
      <c r="I271" s="14">
        <v>0</v>
      </c>
      <c r="J271" s="14">
        <v>0</v>
      </c>
      <c r="K271" s="14">
        <v>0</v>
      </c>
      <c r="L271" s="14">
        <v>50000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00"/>
      <c r="V271" s="15">
        <f t="shared" si="64"/>
        <v>50000</v>
      </c>
    </row>
    <row r="272" spans="1:22" s="3" customFormat="1" ht="38.25">
      <c r="A272" s="62" t="s">
        <v>87</v>
      </c>
      <c r="B272" s="90" t="s">
        <v>67</v>
      </c>
      <c r="C272" s="37" t="s">
        <v>23</v>
      </c>
      <c r="D272" s="37">
        <v>8800000000</v>
      </c>
      <c r="E272" s="41"/>
      <c r="F272" s="41"/>
      <c r="G272" s="24"/>
      <c r="H272" s="13">
        <f aca="true" t="shared" si="68" ref="H272:M272">H273</f>
        <v>130000</v>
      </c>
      <c r="I272" s="13">
        <f t="shared" si="68"/>
        <v>0</v>
      </c>
      <c r="J272" s="13">
        <f t="shared" si="68"/>
        <v>0</v>
      </c>
      <c r="K272" s="13">
        <f t="shared" si="68"/>
        <v>0</v>
      </c>
      <c r="L272" s="13">
        <f t="shared" si="68"/>
        <v>130000</v>
      </c>
      <c r="M272" s="13">
        <f t="shared" si="68"/>
        <v>0</v>
      </c>
      <c r="N272" s="13">
        <v>0</v>
      </c>
      <c r="O272" s="13">
        <f aca="true" t="shared" si="69" ref="O272:T272">O273</f>
        <v>0</v>
      </c>
      <c r="P272" s="13">
        <f t="shared" si="69"/>
        <v>0</v>
      </c>
      <c r="Q272" s="13">
        <f t="shared" si="69"/>
        <v>0</v>
      </c>
      <c r="R272" s="13">
        <f t="shared" si="69"/>
        <v>0</v>
      </c>
      <c r="S272" s="13">
        <f t="shared" si="69"/>
        <v>0</v>
      </c>
      <c r="T272" s="13">
        <f t="shared" si="69"/>
        <v>0</v>
      </c>
      <c r="U272" s="101"/>
      <c r="V272" s="87">
        <f t="shared" si="64"/>
        <v>130000</v>
      </c>
    </row>
    <row r="273" spans="1:22" ht="25.5">
      <c r="A273" s="56" t="s">
        <v>87</v>
      </c>
      <c r="B273" s="48" t="s">
        <v>173</v>
      </c>
      <c r="C273" s="10" t="s">
        <v>23</v>
      </c>
      <c r="D273" s="10">
        <v>8810011440</v>
      </c>
      <c r="E273" s="10">
        <v>540</v>
      </c>
      <c r="F273" s="10">
        <v>310</v>
      </c>
      <c r="G273" s="14"/>
      <c r="H273" s="14">
        <v>130000</v>
      </c>
      <c r="I273" s="14">
        <v>0</v>
      </c>
      <c r="J273" s="14">
        <v>0</v>
      </c>
      <c r="K273" s="14">
        <v>0</v>
      </c>
      <c r="L273" s="14">
        <v>130000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00"/>
      <c r="V273" s="15">
        <f t="shared" si="64"/>
        <v>130000</v>
      </c>
    </row>
    <row r="274" spans="1:22" ht="12.75">
      <c r="A274" s="56"/>
      <c r="B274" s="23"/>
      <c r="C274" s="16"/>
      <c r="D274" s="16"/>
      <c r="E274" s="16"/>
      <c r="F274" s="16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00"/>
      <c r="V274" s="15">
        <f t="shared" si="64"/>
        <v>0</v>
      </c>
    </row>
    <row r="275" spans="1:22" ht="12.75">
      <c r="A275" s="56"/>
      <c r="B275" s="25" t="s">
        <v>45</v>
      </c>
      <c r="C275" s="25" t="s">
        <v>23</v>
      </c>
      <c r="D275" s="16"/>
      <c r="E275" s="16"/>
      <c r="F275" s="16"/>
      <c r="G275" s="14"/>
      <c r="H275" s="30">
        <f aca="true" t="shared" si="70" ref="H275:T275">H271+H272+H267+H252+H229</f>
        <v>14223248</v>
      </c>
      <c r="I275" s="30">
        <f t="shared" si="70"/>
        <v>500800</v>
      </c>
      <c r="J275" s="30">
        <f t="shared" si="70"/>
        <v>1162700</v>
      </c>
      <c r="K275" s="30">
        <f t="shared" si="70"/>
        <v>1205200</v>
      </c>
      <c r="L275" s="30">
        <f t="shared" si="70"/>
        <v>1378022</v>
      </c>
      <c r="M275" s="30">
        <f t="shared" si="70"/>
        <v>1157933.7</v>
      </c>
      <c r="N275" s="30">
        <f t="shared" si="70"/>
        <v>1208500</v>
      </c>
      <c r="O275" s="30">
        <f t="shared" si="70"/>
        <v>1249039.38</v>
      </c>
      <c r="P275" s="30">
        <f t="shared" si="70"/>
        <v>1275093.9100000001</v>
      </c>
      <c r="Q275" s="30">
        <f t="shared" si="70"/>
        <v>1142090.8399999999</v>
      </c>
      <c r="R275" s="30">
        <f t="shared" si="70"/>
        <v>1323750.08</v>
      </c>
      <c r="S275" s="30">
        <f t="shared" si="70"/>
        <v>1384663.49</v>
      </c>
      <c r="T275" s="30">
        <f t="shared" si="70"/>
        <v>1235454.6</v>
      </c>
      <c r="U275" s="97"/>
      <c r="V275" s="97">
        <f>V271+V272+V267+V252+V229</f>
        <v>14223248</v>
      </c>
    </row>
    <row r="276" spans="1:22" ht="12.75">
      <c r="A276" s="56"/>
      <c r="B276" s="23"/>
      <c r="C276" s="16"/>
      <c r="D276" s="16"/>
      <c r="E276" s="16"/>
      <c r="F276" s="16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00"/>
      <c r="V276" s="15">
        <f aca="true" t="shared" si="71" ref="V276:V290">SUM(I276:T276)</f>
        <v>0</v>
      </c>
    </row>
    <row r="277" spans="1:22" ht="12.75">
      <c r="A277" s="66"/>
      <c r="B277" s="92" t="s">
        <v>68</v>
      </c>
      <c r="C277" s="44"/>
      <c r="D277" s="44"/>
      <c r="E277" s="44"/>
      <c r="F277" s="44"/>
      <c r="G277" s="49"/>
      <c r="H277" s="42">
        <f aca="true" t="shared" si="72" ref="H277:T277">H275</f>
        <v>14223248</v>
      </c>
      <c r="I277" s="42">
        <f t="shared" si="72"/>
        <v>500800</v>
      </c>
      <c r="J277" s="42">
        <f t="shared" si="72"/>
        <v>1162700</v>
      </c>
      <c r="K277" s="42">
        <f t="shared" si="72"/>
        <v>1205200</v>
      </c>
      <c r="L277" s="42">
        <f t="shared" si="72"/>
        <v>1378022</v>
      </c>
      <c r="M277" s="42">
        <f t="shared" si="72"/>
        <v>1157933.7</v>
      </c>
      <c r="N277" s="42">
        <f t="shared" si="72"/>
        <v>1208500</v>
      </c>
      <c r="O277" s="42">
        <f t="shared" si="72"/>
        <v>1249039.38</v>
      </c>
      <c r="P277" s="42">
        <f t="shared" si="72"/>
        <v>1275093.9100000001</v>
      </c>
      <c r="Q277" s="42">
        <f t="shared" si="72"/>
        <v>1142090.8399999999</v>
      </c>
      <c r="R277" s="42">
        <f t="shared" si="72"/>
        <v>1323750.08</v>
      </c>
      <c r="S277" s="42">
        <f t="shared" si="72"/>
        <v>1384663.49</v>
      </c>
      <c r="T277" s="42">
        <f t="shared" si="72"/>
        <v>1235454.6</v>
      </c>
      <c r="U277" s="104"/>
      <c r="V277" s="50">
        <f t="shared" si="71"/>
        <v>14223248</v>
      </c>
    </row>
    <row r="278" spans="1:22" ht="12.75">
      <c r="A278" s="56"/>
      <c r="B278" s="23"/>
      <c r="C278" s="16"/>
      <c r="D278" s="16"/>
      <c r="E278" s="16"/>
      <c r="F278" s="16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00"/>
      <c r="V278" s="15">
        <f t="shared" si="71"/>
        <v>0</v>
      </c>
    </row>
    <row r="279" spans="1:22" ht="102">
      <c r="A279" s="62" t="s">
        <v>87</v>
      </c>
      <c r="B279" s="90" t="s">
        <v>133</v>
      </c>
      <c r="C279" s="37" t="s">
        <v>44</v>
      </c>
      <c r="D279" s="37">
        <v>6900000000</v>
      </c>
      <c r="E279" s="37"/>
      <c r="F279" s="37"/>
      <c r="G279" s="37"/>
      <c r="H279" s="13">
        <f aca="true" t="shared" si="73" ref="H279:T279">H280</f>
        <v>388200</v>
      </c>
      <c r="I279" s="13">
        <f t="shared" si="73"/>
        <v>0</v>
      </c>
      <c r="J279" s="13">
        <f t="shared" si="73"/>
        <v>33903.08</v>
      </c>
      <c r="K279" s="13">
        <f t="shared" si="73"/>
        <v>33903.08</v>
      </c>
      <c r="L279" s="13">
        <f t="shared" si="73"/>
        <v>32300</v>
      </c>
      <c r="M279" s="13">
        <f t="shared" si="73"/>
        <v>32300</v>
      </c>
      <c r="N279" s="13">
        <f t="shared" si="73"/>
        <v>32400</v>
      </c>
      <c r="O279" s="13">
        <f t="shared" si="73"/>
        <v>32300</v>
      </c>
      <c r="P279" s="13">
        <f t="shared" si="73"/>
        <v>32400</v>
      </c>
      <c r="Q279" s="13">
        <f t="shared" si="73"/>
        <v>32400</v>
      </c>
      <c r="R279" s="13">
        <f t="shared" si="73"/>
        <v>32300</v>
      </c>
      <c r="S279" s="13">
        <f t="shared" si="73"/>
        <v>32400</v>
      </c>
      <c r="T279" s="13">
        <f t="shared" si="73"/>
        <v>61593.84</v>
      </c>
      <c r="U279" s="101"/>
      <c r="V279" s="87">
        <f t="shared" si="71"/>
        <v>388200</v>
      </c>
    </row>
    <row r="280" spans="1:22" ht="25.5">
      <c r="A280" s="56" t="s">
        <v>87</v>
      </c>
      <c r="B280" s="48" t="s">
        <v>176</v>
      </c>
      <c r="C280" s="10" t="s">
        <v>44</v>
      </c>
      <c r="D280" s="10">
        <v>6910141210</v>
      </c>
      <c r="E280" s="10">
        <v>312</v>
      </c>
      <c r="F280" s="10">
        <v>263</v>
      </c>
      <c r="G280" s="14"/>
      <c r="H280" s="14">
        <v>388200</v>
      </c>
      <c r="I280" s="14">
        <v>0</v>
      </c>
      <c r="J280" s="14">
        <f>32300+1603.08</f>
        <v>33903.08</v>
      </c>
      <c r="K280" s="14">
        <f>32400+1503.08</f>
        <v>33903.08</v>
      </c>
      <c r="L280" s="14">
        <v>32300</v>
      </c>
      <c r="M280" s="14">
        <v>32300</v>
      </c>
      <c r="N280" s="14">
        <v>32400</v>
      </c>
      <c r="O280" s="14">
        <v>32300</v>
      </c>
      <c r="P280" s="14">
        <v>32400</v>
      </c>
      <c r="Q280" s="14">
        <v>32400</v>
      </c>
      <c r="R280" s="14">
        <v>32300</v>
      </c>
      <c r="S280" s="14">
        <v>32400</v>
      </c>
      <c r="T280" s="14">
        <f>32400+32300-1603.08-1503.08</f>
        <v>61593.84</v>
      </c>
      <c r="U280" s="100"/>
      <c r="V280" s="15">
        <f t="shared" si="71"/>
        <v>388200</v>
      </c>
    </row>
    <row r="281" spans="1:22" ht="12.75">
      <c r="A281" s="56"/>
      <c r="B281" s="23"/>
      <c r="C281" s="16"/>
      <c r="D281" s="16"/>
      <c r="E281" s="16"/>
      <c r="F281" s="16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00"/>
      <c r="V281" s="15">
        <f t="shared" si="71"/>
        <v>0</v>
      </c>
    </row>
    <row r="282" spans="1:22" ht="12.75">
      <c r="A282" s="56"/>
      <c r="B282" s="25" t="s">
        <v>45</v>
      </c>
      <c r="C282" s="25" t="s">
        <v>44</v>
      </c>
      <c r="D282" s="16"/>
      <c r="E282" s="16"/>
      <c r="F282" s="16"/>
      <c r="G282" s="14"/>
      <c r="H282" s="30">
        <f aca="true" t="shared" si="74" ref="H282:T282">H279</f>
        <v>388200</v>
      </c>
      <c r="I282" s="30">
        <f t="shared" si="74"/>
        <v>0</v>
      </c>
      <c r="J282" s="30">
        <f t="shared" si="74"/>
        <v>33903.08</v>
      </c>
      <c r="K282" s="30">
        <f t="shared" si="74"/>
        <v>33903.08</v>
      </c>
      <c r="L282" s="30">
        <f t="shared" si="74"/>
        <v>32300</v>
      </c>
      <c r="M282" s="30">
        <f t="shared" si="74"/>
        <v>32300</v>
      </c>
      <c r="N282" s="30">
        <f t="shared" si="74"/>
        <v>32400</v>
      </c>
      <c r="O282" s="30">
        <f t="shared" si="74"/>
        <v>32300</v>
      </c>
      <c r="P282" s="30">
        <f t="shared" si="74"/>
        <v>32400</v>
      </c>
      <c r="Q282" s="30">
        <f t="shared" si="74"/>
        <v>32400</v>
      </c>
      <c r="R282" s="30">
        <f t="shared" si="74"/>
        <v>32300</v>
      </c>
      <c r="S282" s="30">
        <f t="shared" si="74"/>
        <v>32400</v>
      </c>
      <c r="T282" s="30">
        <f t="shared" si="74"/>
        <v>61593.84</v>
      </c>
      <c r="U282" s="102"/>
      <c r="V282" s="86">
        <f t="shared" si="71"/>
        <v>388200</v>
      </c>
    </row>
    <row r="283" spans="1:22" ht="12.75">
      <c r="A283" s="56"/>
      <c r="B283" s="25"/>
      <c r="C283" s="26"/>
      <c r="D283" s="16"/>
      <c r="E283" s="16"/>
      <c r="F283" s="16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00"/>
      <c r="V283" s="15">
        <f t="shared" si="71"/>
        <v>0</v>
      </c>
    </row>
    <row r="284" spans="1:22" ht="89.25">
      <c r="A284" s="62" t="s">
        <v>87</v>
      </c>
      <c r="B284" s="90" t="s">
        <v>134</v>
      </c>
      <c r="C284" s="37" t="s">
        <v>69</v>
      </c>
      <c r="D284" s="37">
        <v>7000000000</v>
      </c>
      <c r="E284" s="37"/>
      <c r="F284" s="37"/>
      <c r="G284" s="37"/>
      <c r="H284" s="13">
        <f aca="true" t="shared" si="75" ref="H284:T284">H285</f>
        <v>50000</v>
      </c>
      <c r="I284" s="13">
        <f t="shared" si="75"/>
        <v>0</v>
      </c>
      <c r="J284" s="13">
        <f t="shared" si="75"/>
        <v>0</v>
      </c>
      <c r="K284" s="13">
        <f t="shared" si="75"/>
        <v>0</v>
      </c>
      <c r="L284" s="13">
        <f t="shared" si="75"/>
        <v>50000</v>
      </c>
      <c r="M284" s="13">
        <f t="shared" si="75"/>
        <v>0</v>
      </c>
      <c r="N284" s="13">
        <f t="shared" si="75"/>
        <v>0</v>
      </c>
      <c r="O284" s="13">
        <f t="shared" si="75"/>
        <v>0</v>
      </c>
      <c r="P284" s="13">
        <f t="shared" si="75"/>
        <v>0</v>
      </c>
      <c r="Q284" s="13">
        <f t="shared" si="75"/>
        <v>0</v>
      </c>
      <c r="R284" s="13">
        <f t="shared" si="75"/>
        <v>0</v>
      </c>
      <c r="S284" s="13">
        <f t="shared" si="75"/>
        <v>0</v>
      </c>
      <c r="T284" s="13">
        <f t="shared" si="75"/>
        <v>0</v>
      </c>
      <c r="U284" s="101"/>
      <c r="V284" s="87">
        <f t="shared" si="71"/>
        <v>50000</v>
      </c>
    </row>
    <row r="285" spans="1:22" ht="49.5" customHeight="1">
      <c r="A285" s="56" t="s">
        <v>87</v>
      </c>
      <c r="B285" s="48" t="s">
        <v>177</v>
      </c>
      <c r="C285" s="23" t="s">
        <v>69</v>
      </c>
      <c r="D285" s="10">
        <v>7010110300</v>
      </c>
      <c r="E285" s="10">
        <v>633</v>
      </c>
      <c r="F285" s="10">
        <v>290</v>
      </c>
      <c r="G285" s="14"/>
      <c r="H285" s="14">
        <v>50000</v>
      </c>
      <c r="I285" s="14">
        <v>0</v>
      </c>
      <c r="J285" s="14">
        <v>0</v>
      </c>
      <c r="K285" s="14">
        <v>0</v>
      </c>
      <c r="L285" s="14">
        <v>50000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00"/>
      <c r="V285" s="15">
        <f t="shared" si="71"/>
        <v>50000</v>
      </c>
    </row>
    <row r="286" spans="1:22" ht="12.75">
      <c r="A286" s="56"/>
      <c r="B286" s="25"/>
      <c r="C286" s="11"/>
      <c r="D286" s="10"/>
      <c r="E286" s="10"/>
      <c r="F286" s="10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00"/>
      <c r="V286" s="15">
        <f t="shared" si="71"/>
        <v>0</v>
      </c>
    </row>
    <row r="287" spans="1:22" ht="12.75">
      <c r="A287" s="56"/>
      <c r="B287" s="25" t="s">
        <v>45</v>
      </c>
      <c r="C287" s="25" t="s">
        <v>69</v>
      </c>
      <c r="D287" s="10"/>
      <c r="E287" s="10"/>
      <c r="F287" s="10"/>
      <c r="G287" s="14"/>
      <c r="H287" s="30">
        <f aca="true" t="shared" si="76" ref="H287:T287">H284</f>
        <v>50000</v>
      </c>
      <c r="I287" s="30">
        <f t="shared" si="76"/>
        <v>0</v>
      </c>
      <c r="J287" s="30">
        <f t="shared" si="76"/>
        <v>0</v>
      </c>
      <c r="K287" s="30">
        <f t="shared" si="76"/>
        <v>0</v>
      </c>
      <c r="L287" s="30">
        <f t="shared" si="76"/>
        <v>50000</v>
      </c>
      <c r="M287" s="30">
        <f t="shared" si="76"/>
        <v>0</v>
      </c>
      <c r="N287" s="30">
        <f t="shared" si="76"/>
        <v>0</v>
      </c>
      <c r="O287" s="30">
        <f t="shared" si="76"/>
        <v>0</v>
      </c>
      <c r="P287" s="30">
        <f t="shared" si="76"/>
        <v>0</v>
      </c>
      <c r="Q287" s="30">
        <f t="shared" si="76"/>
        <v>0</v>
      </c>
      <c r="R287" s="30">
        <f t="shared" si="76"/>
        <v>0</v>
      </c>
      <c r="S287" s="30">
        <f t="shared" si="76"/>
        <v>0</v>
      </c>
      <c r="T287" s="30">
        <f t="shared" si="76"/>
        <v>0</v>
      </c>
      <c r="U287" s="102"/>
      <c r="V287" s="86">
        <f t="shared" si="71"/>
        <v>50000</v>
      </c>
    </row>
    <row r="288" spans="1:22" ht="12.75">
      <c r="A288" s="56"/>
      <c r="B288" s="25"/>
      <c r="C288" s="26"/>
      <c r="D288" s="16"/>
      <c r="E288" s="16"/>
      <c r="F288" s="16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00"/>
      <c r="V288" s="15">
        <f t="shared" si="71"/>
        <v>0</v>
      </c>
    </row>
    <row r="289" spans="1:22" ht="12.75">
      <c r="A289" s="66"/>
      <c r="B289" s="92" t="s">
        <v>70</v>
      </c>
      <c r="C289" s="68"/>
      <c r="D289" s="44"/>
      <c r="E289" s="44"/>
      <c r="F289" s="44"/>
      <c r="G289" s="49"/>
      <c r="H289" s="42">
        <f aca="true" t="shared" si="77" ref="H289:T289">H284+H279</f>
        <v>438200</v>
      </c>
      <c r="I289" s="42">
        <f t="shared" si="77"/>
        <v>0</v>
      </c>
      <c r="J289" s="42">
        <f t="shared" si="77"/>
        <v>33903.08</v>
      </c>
      <c r="K289" s="42">
        <f t="shared" si="77"/>
        <v>33903.08</v>
      </c>
      <c r="L289" s="42">
        <f t="shared" si="77"/>
        <v>82300</v>
      </c>
      <c r="M289" s="42">
        <f t="shared" si="77"/>
        <v>32300</v>
      </c>
      <c r="N289" s="42">
        <f t="shared" si="77"/>
        <v>32400</v>
      </c>
      <c r="O289" s="42">
        <f t="shared" si="77"/>
        <v>32300</v>
      </c>
      <c r="P289" s="42">
        <f t="shared" si="77"/>
        <v>32400</v>
      </c>
      <c r="Q289" s="42">
        <f t="shared" si="77"/>
        <v>32400</v>
      </c>
      <c r="R289" s="42">
        <f t="shared" si="77"/>
        <v>32300</v>
      </c>
      <c r="S289" s="42">
        <f t="shared" si="77"/>
        <v>32400</v>
      </c>
      <c r="T289" s="42">
        <f t="shared" si="77"/>
        <v>61593.84</v>
      </c>
      <c r="U289" s="104"/>
      <c r="V289" s="50">
        <f t="shared" si="71"/>
        <v>438200</v>
      </c>
    </row>
    <row r="290" spans="1:22" ht="12.75">
      <c r="A290" s="56"/>
      <c r="B290" s="23"/>
      <c r="C290" s="16"/>
      <c r="D290" s="16"/>
      <c r="E290" s="16"/>
      <c r="F290" s="16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00"/>
      <c r="V290" s="15">
        <f t="shared" si="71"/>
        <v>0</v>
      </c>
    </row>
    <row r="291" spans="1:22" ht="63.75">
      <c r="A291" s="62" t="s">
        <v>87</v>
      </c>
      <c r="B291" s="90" t="s">
        <v>135</v>
      </c>
      <c r="C291" s="37" t="s">
        <v>24</v>
      </c>
      <c r="D291" s="37">
        <v>7100000000</v>
      </c>
      <c r="E291" s="36"/>
      <c r="F291" s="36"/>
      <c r="G291" s="37"/>
      <c r="H291" s="13">
        <f aca="true" t="shared" si="78" ref="H291:T291">H293+H307+H310</f>
        <v>6086300</v>
      </c>
      <c r="I291" s="13">
        <f t="shared" si="78"/>
        <v>368150</v>
      </c>
      <c r="J291" s="13">
        <f t="shared" si="78"/>
        <v>499850</v>
      </c>
      <c r="K291" s="13">
        <f t="shared" si="78"/>
        <v>495450</v>
      </c>
      <c r="L291" s="13">
        <f t="shared" si="78"/>
        <v>496662.2</v>
      </c>
      <c r="M291" s="13">
        <f t="shared" si="78"/>
        <v>502879.35</v>
      </c>
      <c r="N291" s="13">
        <f t="shared" si="78"/>
        <v>472200</v>
      </c>
      <c r="O291" s="13">
        <f t="shared" si="78"/>
        <v>629373.29</v>
      </c>
      <c r="P291" s="13">
        <f t="shared" si="78"/>
        <v>451731.21</v>
      </c>
      <c r="Q291" s="13">
        <f t="shared" si="78"/>
        <v>529051.96</v>
      </c>
      <c r="R291" s="13">
        <f t="shared" si="78"/>
        <v>575599.62</v>
      </c>
      <c r="S291" s="13">
        <f t="shared" si="78"/>
        <v>515577</v>
      </c>
      <c r="T291" s="13">
        <f t="shared" si="78"/>
        <v>549775.3700000001</v>
      </c>
      <c r="U291" s="101"/>
      <c r="V291" s="87">
        <f>V293+V310+V307</f>
        <v>6086300</v>
      </c>
    </row>
    <row r="292" spans="1:22" ht="12.75">
      <c r="A292" s="56"/>
      <c r="B292" s="67"/>
      <c r="C292" s="12"/>
      <c r="D292" s="12"/>
      <c r="E292" s="12"/>
      <c r="F292" s="12"/>
      <c r="G292" s="31"/>
      <c r="H292" s="3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00"/>
      <c r="V292" s="15">
        <f>SUM(I292:T292)</f>
        <v>0</v>
      </c>
    </row>
    <row r="293" spans="1:22" ht="63.75">
      <c r="A293" s="62" t="s">
        <v>87</v>
      </c>
      <c r="B293" s="90" t="s">
        <v>136</v>
      </c>
      <c r="C293" s="37" t="s">
        <v>24</v>
      </c>
      <c r="D293" s="37">
        <v>7110000000</v>
      </c>
      <c r="E293" s="36"/>
      <c r="F293" s="36"/>
      <c r="G293" s="37"/>
      <c r="H293" s="13">
        <f aca="true" t="shared" si="79" ref="H293:T293">H294+H295+H296+H297+H298+H299+H300+H301+H303+H304+H305+H302</f>
        <v>5876300</v>
      </c>
      <c r="I293" s="13">
        <f t="shared" si="79"/>
        <v>254650</v>
      </c>
      <c r="J293" s="13">
        <f t="shared" si="79"/>
        <v>499850</v>
      </c>
      <c r="K293" s="13">
        <f t="shared" si="79"/>
        <v>495450</v>
      </c>
      <c r="L293" s="13">
        <f t="shared" si="79"/>
        <v>466162.2</v>
      </c>
      <c r="M293" s="13">
        <f t="shared" si="79"/>
        <v>495629.35</v>
      </c>
      <c r="N293" s="13">
        <f t="shared" si="79"/>
        <v>459700</v>
      </c>
      <c r="O293" s="13">
        <f t="shared" si="79"/>
        <v>610623.29</v>
      </c>
      <c r="P293" s="13">
        <f t="shared" si="79"/>
        <v>439231.21</v>
      </c>
      <c r="Q293" s="13">
        <f t="shared" si="79"/>
        <v>518551.96</v>
      </c>
      <c r="R293" s="13">
        <f t="shared" si="79"/>
        <v>575599.62</v>
      </c>
      <c r="S293" s="13">
        <f t="shared" si="79"/>
        <v>511077</v>
      </c>
      <c r="T293" s="13">
        <f t="shared" si="79"/>
        <v>549775.3700000001</v>
      </c>
      <c r="U293" s="58"/>
      <c r="V293" s="88">
        <f>V294+V295+V296+V297+V298+V299+V300+V301+V303+V304+V305+V302</f>
        <v>5876300</v>
      </c>
    </row>
    <row r="294" spans="1:22" ht="102">
      <c r="A294" s="56" t="s">
        <v>87</v>
      </c>
      <c r="B294" s="109" t="s">
        <v>178</v>
      </c>
      <c r="C294" s="10" t="s">
        <v>24</v>
      </c>
      <c r="D294" s="10">
        <v>7110100590</v>
      </c>
      <c r="E294" s="10">
        <v>611</v>
      </c>
      <c r="F294" s="10">
        <v>211</v>
      </c>
      <c r="G294" s="10">
        <v>211</v>
      </c>
      <c r="H294" s="14">
        <v>4044500</v>
      </c>
      <c r="I294" s="14">
        <f>135000-33146.05</f>
        <v>101853.95</v>
      </c>
      <c r="J294" s="14">
        <f>334500+2800+5573</f>
        <v>342873</v>
      </c>
      <c r="K294" s="14">
        <f>334500+2800-85076.9+50000</f>
        <v>302223.1</v>
      </c>
      <c r="L294" s="14">
        <f>334500+2700</f>
        <v>337200</v>
      </c>
      <c r="M294" s="14">
        <f>334500+2700</f>
        <v>337200</v>
      </c>
      <c r="N294" s="14">
        <f>334500+2700</f>
        <v>337200</v>
      </c>
      <c r="O294" s="14">
        <f>334550+98700</f>
        <v>433250</v>
      </c>
      <c r="P294" s="14">
        <v>334500</v>
      </c>
      <c r="Q294" s="14">
        <v>334500</v>
      </c>
      <c r="R294" s="14">
        <f>334500+2772.72+85076.9</f>
        <v>422349.62</v>
      </c>
      <c r="S294" s="14">
        <f>334500+100700-5573-50000</f>
        <v>379627</v>
      </c>
      <c r="T294" s="14">
        <f>334500+33146.05+14077.28</f>
        <v>381723.33</v>
      </c>
      <c r="U294" s="100"/>
      <c r="V294" s="15">
        <f aca="true" t="shared" si="80" ref="V294:V305">SUM(I294:T294)</f>
        <v>4044500</v>
      </c>
    </row>
    <row r="295" spans="1:22" ht="102">
      <c r="A295" s="56" t="s">
        <v>87</v>
      </c>
      <c r="B295" s="109" t="s">
        <v>179</v>
      </c>
      <c r="C295" s="10" t="s">
        <v>24</v>
      </c>
      <c r="D295" s="10">
        <v>7110100590</v>
      </c>
      <c r="E295" s="10">
        <v>611</v>
      </c>
      <c r="F295" s="10">
        <v>213</v>
      </c>
      <c r="G295" s="10">
        <v>219</v>
      </c>
      <c r="H295" s="14">
        <v>1221400</v>
      </c>
      <c r="I295" s="14">
        <v>0</v>
      </c>
      <c r="J295" s="14">
        <f>101100-12429.25</f>
        <v>88670.75</v>
      </c>
      <c r="K295" s="14">
        <f>101100-22877.44+50000</f>
        <v>128222.56</v>
      </c>
      <c r="L295" s="14">
        <v>101100</v>
      </c>
      <c r="M295" s="14">
        <v>101100</v>
      </c>
      <c r="N295" s="14">
        <v>101100</v>
      </c>
      <c r="O295" s="14">
        <v>151100</v>
      </c>
      <c r="P295" s="14">
        <f>81200</f>
        <v>81200</v>
      </c>
      <c r="Q295" s="14">
        <f>81200+12429.25+22877.44</f>
        <v>116506.69</v>
      </c>
      <c r="R295" s="14">
        <f>81200+40500</f>
        <v>121700</v>
      </c>
      <c r="S295" s="14">
        <f>101100+50000-50000</f>
        <v>101100</v>
      </c>
      <c r="T295" s="14">
        <f>101100+50000-30600+9100</f>
        <v>129600</v>
      </c>
      <c r="U295" s="100"/>
      <c r="V295" s="15">
        <f t="shared" si="80"/>
        <v>1221400</v>
      </c>
    </row>
    <row r="296" spans="1:22" ht="12.75" hidden="1">
      <c r="A296" s="56" t="s">
        <v>87</v>
      </c>
      <c r="B296" s="23" t="s">
        <v>13</v>
      </c>
      <c r="C296" s="16" t="s">
        <v>24</v>
      </c>
      <c r="D296" s="10">
        <v>7110100590</v>
      </c>
      <c r="E296" s="16">
        <v>611</v>
      </c>
      <c r="F296" s="16">
        <v>226</v>
      </c>
      <c r="G296" s="31"/>
      <c r="H296" s="14">
        <f>V296</f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00"/>
      <c r="V296" s="15">
        <f t="shared" si="80"/>
        <v>0</v>
      </c>
    </row>
    <row r="297" spans="1:22" ht="140.25">
      <c r="A297" s="56" t="s">
        <v>87</v>
      </c>
      <c r="B297" s="48" t="s">
        <v>194</v>
      </c>
      <c r="C297" s="10" t="s">
        <v>24</v>
      </c>
      <c r="D297" s="10">
        <v>7110100590</v>
      </c>
      <c r="E297" s="10">
        <v>611</v>
      </c>
      <c r="F297" s="10">
        <v>221</v>
      </c>
      <c r="G297" s="10" t="s">
        <v>71</v>
      </c>
      <c r="H297" s="14">
        <v>36300</v>
      </c>
      <c r="I297" s="14">
        <f aca="true" t="shared" si="81" ref="I297:N297">2500+1600-1100</f>
        <v>3000</v>
      </c>
      <c r="J297" s="14">
        <v>0</v>
      </c>
      <c r="K297" s="14">
        <f>6000-5273.29</f>
        <v>726.71</v>
      </c>
      <c r="L297" s="14">
        <f t="shared" si="81"/>
        <v>3000</v>
      </c>
      <c r="M297" s="14">
        <f t="shared" si="81"/>
        <v>3000</v>
      </c>
      <c r="N297" s="14">
        <f t="shared" si="81"/>
        <v>3000</v>
      </c>
      <c r="O297" s="14">
        <f>1600+5273.29</f>
        <v>6873.29</v>
      </c>
      <c r="P297" s="14">
        <f>2500+1600-1100</f>
        <v>3000</v>
      </c>
      <c r="Q297" s="14">
        <f>2500+1600-1100</f>
        <v>3000</v>
      </c>
      <c r="R297" s="14">
        <f>2500+1600-1100</f>
        <v>3000</v>
      </c>
      <c r="S297" s="14">
        <v>4000</v>
      </c>
      <c r="T297" s="14">
        <v>3700</v>
      </c>
      <c r="U297" s="100"/>
      <c r="V297" s="15">
        <f t="shared" si="80"/>
        <v>36300</v>
      </c>
    </row>
    <row r="298" spans="1:22" ht="140.25">
      <c r="A298" s="56" t="s">
        <v>87</v>
      </c>
      <c r="B298" s="48" t="s">
        <v>194</v>
      </c>
      <c r="C298" s="10" t="s">
        <v>24</v>
      </c>
      <c r="D298" s="10">
        <v>7110100590</v>
      </c>
      <c r="E298" s="10">
        <v>611</v>
      </c>
      <c r="F298" s="10">
        <v>221</v>
      </c>
      <c r="G298" s="10" t="s">
        <v>72</v>
      </c>
      <c r="H298" s="14">
        <v>7000</v>
      </c>
      <c r="I298" s="14">
        <v>500</v>
      </c>
      <c r="J298" s="14">
        <v>0</v>
      </c>
      <c r="K298" s="14">
        <v>1000</v>
      </c>
      <c r="L298" s="14">
        <v>500</v>
      </c>
      <c r="M298" s="14">
        <v>500</v>
      </c>
      <c r="N298" s="14">
        <v>500</v>
      </c>
      <c r="O298" s="14">
        <v>500</v>
      </c>
      <c r="P298" s="14">
        <v>500</v>
      </c>
      <c r="Q298" s="14">
        <v>500</v>
      </c>
      <c r="R298" s="14">
        <v>500</v>
      </c>
      <c r="S298" s="14">
        <v>1000</v>
      </c>
      <c r="T298" s="14">
        <v>1000</v>
      </c>
      <c r="U298" s="100"/>
      <c r="V298" s="15">
        <f t="shared" si="80"/>
        <v>7000</v>
      </c>
    </row>
    <row r="299" spans="1:22" ht="114.75">
      <c r="A299" s="56" t="s">
        <v>87</v>
      </c>
      <c r="B299" s="110" t="s">
        <v>180</v>
      </c>
      <c r="C299" s="10" t="s">
        <v>24</v>
      </c>
      <c r="D299" s="10">
        <v>7110100590</v>
      </c>
      <c r="E299" s="10">
        <v>611</v>
      </c>
      <c r="F299" s="10">
        <v>223</v>
      </c>
      <c r="G299" s="10" t="s">
        <v>229</v>
      </c>
      <c r="H299" s="14">
        <f>180900+128000</f>
        <v>308900</v>
      </c>
      <c r="I299" s="14">
        <f>14000+8800-10971.75+50000</f>
        <v>61828.25</v>
      </c>
      <c r="J299" s="14">
        <f>14400+33000-20000-23004.73+20000+20000</f>
        <v>44395.270000000004</v>
      </c>
      <c r="K299" s="14">
        <v>58890.65</v>
      </c>
      <c r="L299" s="14">
        <v>10000</v>
      </c>
      <c r="M299" s="14">
        <f>22000-18890.65</f>
        <v>3109.3499999999985</v>
      </c>
      <c r="N299" s="14">
        <v>7000</v>
      </c>
      <c r="O299" s="14">
        <v>7000</v>
      </c>
      <c r="P299" s="14">
        <f>14000+23004.73-24323.52-7000</f>
        <v>5681.2099999999955</v>
      </c>
      <c r="Q299" s="14">
        <f>6700+10971.75+28823.52-9000</f>
        <v>37495.270000000004</v>
      </c>
      <c r="R299" s="14">
        <f>14000+6200</f>
        <v>20200</v>
      </c>
      <c r="S299" s="14">
        <f>20000+14500-10000</f>
        <v>24500</v>
      </c>
      <c r="T299" s="14">
        <f>8300+30500-10000</f>
        <v>28800</v>
      </c>
      <c r="U299" s="100"/>
      <c r="V299" s="15">
        <f t="shared" si="80"/>
        <v>308900</v>
      </c>
    </row>
    <row r="300" spans="1:22" ht="98.25" customHeight="1">
      <c r="A300" s="56" t="s">
        <v>87</v>
      </c>
      <c r="B300" s="48" t="s">
        <v>187</v>
      </c>
      <c r="C300" s="10" t="s">
        <v>24</v>
      </c>
      <c r="D300" s="10">
        <v>7110100590</v>
      </c>
      <c r="E300" s="10">
        <v>611</v>
      </c>
      <c r="F300" s="10">
        <v>223</v>
      </c>
      <c r="G300" s="10" t="s">
        <v>38</v>
      </c>
      <c r="H300" s="14">
        <v>10300</v>
      </c>
      <c r="I300" s="14">
        <v>850</v>
      </c>
      <c r="J300" s="14">
        <v>850</v>
      </c>
      <c r="K300" s="14">
        <f>850-463.02</f>
        <v>386.98</v>
      </c>
      <c r="L300" s="14">
        <v>850</v>
      </c>
      <c r="M300" s="14">
        <v>850</v>
      </c>
      <c r="N300" s="14">
        <v>900</v>
      </c>
      <c r="O300" s="14">
        <v>900</v>
      </c>
      <c r="P300" s="14">
        <v>850</v>
      </c>
      <c r="Q300" s="14">
        <v>850</v>
      </c>
      <c r="R300" s="14">
        <v>850</v>
      </c>
      <c r="S300" s="14">
        <v>850</v>
      </c>
      <c r="T300" s="14">
        <f>850+463.02</f>
        <v>1313.02</v>
      </c>
      <c r="U300" s="100"/>
      <c r="V300" s="15">
        <f t="shared" si="80"/>
        <v>10300</v>
      </c>
    </row>
    <row r="301" spans="1:22" ht="102.75" customHeight="1" hidden="1">
      <c r="A301" s="56" t="s">
        <v>87</v>
      </c>
      <c r="B301" s="111" t="s">
        <v>180</v>
      </c>
      <c r="C301" s="10" t="s">
        <v>24</v>
      </c>
      <c r="D301" s="10">
        <v>7110100590</v>
      </c>
      <c r="E301" s="10">
        <v>611</v>
      </c>
      <c r="F301" s="10">
        <v>223</v>
      </c>
      <c r="G301" s="10" t="s">
        <v>40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00"/>
      <c r="V301" s="15">
        <f t="shared" si="80"/>
        <v>0</v>
      </c>
    </row>
    <row r="302" spans="1:22" ht="102" customHeight="1">
      <c r="A302" s="56" t="s">
        <v>87</v>
      </c>
      <c r="B302" s="63" t="s">
        <v>184</v>
      </c>
      <c r="C302" s="10" t="s">
        <v>24</v>
      </c>
      <c r="D302" s="10">
        <v>7110100590</v>
      </c>
      <c r="E302" s="10">
        <v>611</v>
      </c>
      <c r="F302" s="10">
        <v>226</v>
      </c>
      <c r="G302" s="10">
        <v>226</v>
      </c>
      <c r="H302" s="14">
        <v>146200</v>
      </c>
      <c r="I302" s="14">
        <f>1500+11000+62487.8</f>
        <v>74987.8</v>
      </c>
      <c r="J302" s="14">
        <f>7000+2060.98+10000</f>
        <v>19060.98</v>
      </c>
      <c r="K302" s="14">
        <v>0</v>
      </c>
      <c r="L302" s="14">
        <f>43100-11000-24087.8</f>
        <v>8012.200000000001</v>
      </c>
      <c r="M302" s="14">
        <v>7000</v>
      </c>
      <c r="N302" s="14">
        <v>6000</v>
      </c>
      <c r="O302" s="14">
        <v>7000</v>
      </c>
      <c r="P302" s="14">
        <v>8500</v>
      </c>
      <c r="Q302" s="14">
        <v>5000</v>
      </c>
      <c r="R302" s="14">
        <v>7000</v>
      </c>
      <c r="S302" s="14">
        <v>0</v>
      </c>
      <c r="T302" s="14">
        <f>8700-2060.98-3000</f>
        <v>3639.0200000000004</v>
      </c>
      <c r="U302" s="100"/>
      <c r="V302" s="15">
        <f t="shared" si="80"/>
        <v>146199.99999999997</v>
      </c>
    </row>
    <row r="303" spans="1:22" ht="114.75">
      <c r="A303" s="56" t="s">
        <v>87</v>
      </c>
      <c r="B303" s="48" t="s">
        <v>182</v>
      </c>
      <c r="C303" s="10" t="s">
        <v>24</v>
      </c>
      <c r="D303" s="10">
        <v>7110100590</v>
      </c>
      <c r="E303" s="10">
        <v>611</v>
      </c>
      <c r="F303" s="10">
        <v>850</v>
      </c>
      <c r="G303" s="10" t="s">
        <v>50</v>
      </c>
      <c r="H303" s="14">
        <v>65000</v>
      </c>
      <c r="I303" s="14">
        <f>50500-38870</f>
        <v>11630</v>
      </c>
      <c r="J303" s="14">
        <v>0</v>
      </c>
      <c r="K303" s="14">
        <v>0</v>
      </c>
      <c r="L303" s="14">
        <v>1500</v>
      </c>
      <c r="M303" s="14">
        <v>38870</v>
      </c>
      <c r="N303" s="14">
        <v>0</v>
      </c>
      <c r="O303" s="14">
        <v>0</v>
      </c>
      <c r="P303" s="14">
        <v>0</v>
      </c>
      <c r="Q303" s="14">
        <v>13000</v>
      </c>
      <c r="R303" s="14">
        <v>0</v>
      </c>
      <c r="S303" s="14">
        <v>0</v>
      </c>
      <c r="T303" s="14">
        <v>0</v>
      </c>
      <c r="U303" s="100"/>
      <c r="V303" s="15">
        <f t="shared" si="80"/>
        <v>65000</v>
      </c>
    </row>
    <row r="304" spans="1:22" ht="12.75" hidden="1">
      <c r="A304" s="56" t="s">
        <v>87</v>
      </c>
      <c r="B304" s="23" t="s">
        <v>16</v>
      </c>
      <c r="C304" s="16" t="s">
        <v>24</v>
      </c>
      <c r="D304" s="10">
        <v>7110100590</v>
      </c>
      <c r="E304" s="16">
        <v>611</v>
      </c>
      <c r="F304" s="16">
        <v>310</v>
      </c>
      <c r="G304" s="10"/>
      <c r="H304" s="14">
        <f>V304</f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00"/>
      <c r="V304" s="15">
        <f t="shared" si="80"/>
        <v>0</v>
      </c>
    </row>
    <row r="305" spans="1:22" ht="114.75">
      <c r="A305" s="56" t="s">
        <v>87</v>
      </c>
      <c r="B305" s="48" t="s">
        <v>183</v>
      </c>
      <c r="C305" s="10" t="s">
        <v>24</v>
      </c>
      <c r="D305" s="10">
        <v>7110100590</v>
      </c>
      <c r="E305" s="10">
        <v>611</v>
      </c>
      <c r="F305" s="10">
        <v>340</v>
      </c>
      <c r="G305" s="10">
        <v>340</v>
      </c>
      <c r="H305" s="14">
        <v>36700</v>
      </c>
      <c r="I305" s="14">
        <v>0</v>
      </c>
      <c r="J305" s="14">
        <v>4000</v>
      </c>
      <c r="K305" s="14">
        <v>4000</v>
      </c>
      <c r="L305" s="14">
        <v>4000</v>
      </c>
      <c r="M305" s="14">
        <v>4000</v>
      </c>
      <c r="N305" s="14">
        <v>4000</v>
      </c>
      <c r="O305" s="14">
        <v>4000</v>
      </c>
      <c r="P305" s="14">
        <v>5000</v>
      </c>
      <c r="Q305" s="14">
        <f>6100+1600</f>
        <v>7700</v>
      </c>
      <c r="R305" s="14">
        <v>0</v>
      </c>
      <c r="S305" s="14">
        <v>0</v>
      </c>
      <c r="T305" s="14">
        <v>0</v>
      </c>
      <c r="U305" s="100"/>
      <c r="V305" s="15">
        <f t="shared" si="80"/>
        <v>36700</v>
      </c>
    </row>
    <row r="306" spans="1:22" ht="12.75">
      <c r="A306" s="56" t="s">
        <v>87</v>
      </c>
      <c r="B306" s="63"/>
      <c r="C306" s="16"/>
      <c r="D306" s="16"/>
      <c r="E306" s="16"/>
      <c r="F306" s="16"/>
      <c r="G306" s="10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00"/>
      <c r="V306" s="15"/>
    </row>
    <row r="307" spans="1:22" ht="66" customHeight="1">
      <c r="A307" s="62" t="s">
        <v>87</v>
      </c>
      <c r="B307" s="90" t="s">
        <v>138</v>
      </c>
      <c r="C307" s="37" t="s">
        <v>24</v>
      </c>
      <c r="D307" s="37">
        <v>7120000000</v>
      </c>
      <c r="E307" s="37"/>
      <c r="F307" s="37"/>
      <c r="G307" s="37"/>
      <c r="H307" s="13">
        <f aca="true" t="shared" si="82" ref="H307:T307">H308</f>
        <v>200000</v>
      </c>
      <c r="I307" s="13">
        <f t="shared" si="82"/>
        <v>113500</v>
      </c>
      <c r="J307" s="13">
        <f t="shared" si="82"/>
        <v>0</v>
      </c>
      <c r="K307" s="13">
        <f t="shared" si="82"/>
        <v>0</v>
      </c>
      <c r="L307" s="13">
        <f t="shared" si="82"/>
        <v>20500</v>
      </c>
      <c r="M307" s="13">
        <f t="shared" si="82"/>
        <v>7249.999999999996</v>
      </c>
      <c r="N307" s="13">
        <f t="shared" si="82"/>
        <v>12499.999999999998</v>
      </c>
      <c r="O307" s="13">
        <f t="shared" si="82"/>
        <v>18750</v>
      </c>
      <c r="P307" s="13">
        <f t="shared" si="82"/>
        <v>12499.999999999996</v>
      </c>
      <c r="Q307" s="13">
        <f t="shared" si="82"/>
        <v>10500</v>
      </c>
      <c r="R307" s="13">
        <f t="shared" si="82"/>
        <v>0</v>
      </c>
      <c r="S307" s="13">
        <f t="shared" si="82"/>
        <v>4500</v>
      </c>
      <c r="T307" s="13">
        <f t="shared" si="82"/>
        <v>0</v>
      </c>
      <c r="U307" s="101"/>
      <c r="V307" s="87">
        <f>SUM(I307:T307)</f>
        <v>200000</v>
      </c>
    </row>
    <row r="308" spans="1:22" ht="97.5" customHeight="1">
      <c r="A308" s="56" t="s">
        <v>87</v>
      </c>
      <c r="B308" s="48" t="s">
        <v>188</v>
      </c>
      <c r="C308" s="10" t="s">
        <v>24</v>
      </c>
      <c r="D308" s="10">
        <v>7120100380</v>
      </c>
      <c r="E308" s="10">
        <v>611</v>
      </c>
      <c r="F308" s="10">
        <v>290</v>
      </c>
      <c r="G308" s="14"/>
      <c r="H308" s="14">
        <v>200000</v>
      </c>
      <c r="I308" s="14">
        <v>113500</v>
      </c>
      <c r="J308" s="14">
        <v>0</v>
      </c>
      <c r="K308" s="14">
        <v>0</v>
      </c>
      <c r="L308" s="14">
        <v>20500</v>
      </c>
      <c r="M308" s="14">
        <f>16666.67+16666.67-26083.34</f>
        <v>7249.999999999996</v>
      </c>
      <c r="N308" s="14">
        <f>16666.67-4166.67</f>
        <v>12499.999999999998</v>
      </c>
      <c r="O308" s="14">
        <f>16666.67-2083.33+4166.66</f>
        <v>18750</v>
      </c>
      <c r="P308" s="14">
        <f>16666.67+4166.67-8333.34</f>
        <v>12499.999999999996</v>
      </c>
      <c r="Q308" s="14">
        <v>10500</v>
      </c>
      <c r="R308" s="14">
        <v>0</v>
      </c>
      <c r="S308" s="14">
        <f>16666.67+16666.67-4166.66+42750.01-67416.69</f>
        <v>4500</v>
      </c>
      <c r="T308" s="14">
        <v>0</v>
      </c>
      <c r="U308" s="100"/>
      <c r="V308" s="15">
        <f>SUM(I308:T308)</f>
        <v>200000</v>
      </c>
    </row>
    <row r="309" spans="1:22" ht="12.75">
      <c r="A309" s="56" t="s">
        <v>87</v>
      </c>
      <c r="B309" s="23"/>
      <c r="C309" s="16"/>
      <c r="D309" s="16"/>
      <c r="E309" s="16"/>
      <c r="F309" s="16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 t="s">
        <v>94</v>
      </c>
      <c r="T309" s="14"/>
      <c r="U309" s="100"/>
      <c r="V309" s="15">
        <f>SUM(I309:T309)</f>
        <v>0</v>
      </c>
    </row>
    <row r="310" spans="1:22" ht="63.75">
      <c r="A310" s="62" t="s">
        <v>87</v>
      </c>
      <c r="B310" s="90" t="s">
        <v>137</v>
      </c>
      <c r="C310" s="37" t="s">
        <v>24</v>
      </c>
      <c r="D310" s="37">
        <v>7130000000</v>
      </c>
      <c r="E310" s="35"/>
      <c r="F310" s="35"/>
      <c r="G310" s="24"/>
      <c r="H310" s="13">
        <f aca="true" t="shared" si="83" ref="H310:S310">H311</f>
        <v>10000</v>
      </c>
      <c r="I310" s="13">
        <f t="shared" si="83"/>
        <v>0</v>
      </c>
      <c r="J310" s="13">
        <f t="shared" si="83"/>
        <v>0</v>
      </c>
      <c r="K310" s="13">
        <f t="shared" si="83"/>
        <v>0</v>
      </c>
      <c r="L310" s="13">
        <f t="shared" si="83"/>
        <v>10000</v>
      </c>
      <c r="M310" s="13">
        <f t="shared" si="83"/>
        <v>0</v>
      </c>
      <c r="N310" s="13">
        <f t="shared" si="83"/>
        <v>0</v>
      </c>
      <c r="O310" s="13">
        <f t="shared" si="83"/>
        <v>0</v>
      </c>
      <c r="P310" s="13">
        <f t="shared" si="83"/>
        <v>0</v>
      </c>
      <c r="Q310" s="13">
        <f t="shared" si="83"/>
        <v>0</v>
      </c>
      <c r="R310" s="13">
        <f t="shared" si="83"/>
        <v>0</v>
      </c>
      <c r="S310" s="13">
        <f t="shared" si="83"/>
        <v>0</v>
      </c>
      <c r="T310" s="13">
        <v>0</v>
      </c>
      <c r="U310" s="101"/>
      <c r="V310" s="87">
        <f>V311</f>
        <v>10000</v>
      </c>
    </row>
    <row r="311" spans="1:22" ht="42" customHeight="1">
      <c r="A311" s="56" t="s">
        <v>87</v>
      </c>
      <c r="B311" s="48" t="s">
        <v>189</v>
      </c>
      <c r="C311" s="10" t="s">
        <v>24</v>
      </c>
      <c r="D311" s="10">
        <v>7130100390</v>
      </c>
      <c r="E311" s="10">
        <v>240</v>
      </c>
      <c r="F311" s="10">
        <v>226</v>
      </c>
      <c r="G311" s="14"/>
      <c r="H311" s="14">
        <v>10000</v>
      </c>
      <c r="I311" s="14">
        <v>0</v>
      </c>
      <c r="J311" s="14">
        <v>0</v>
      </c>
      <c r="K311" s="14">
        <v>0</v>
      </c>
      <c r="L311" s="14">
        <v>10000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00"/>
      <c r="V311" s="15">
        <f>SUM(I311:T311)</f>
        <v>10000</v>
      </c>
    </row>
    <row r="312" spans="1:22" ht="12.75">
      <c r="A312" s="56"/>
      <c r="B312" s="23"/>
      <c r="C312" s="10"/>
      <c r="D312" s="10"/>
      <c r="E312" s="10"/>
      <c r="F312" s="10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07"/>
      <c r="V312" s="15"/>
    </row>
    <row r="313" spans="1:22" ht="12.75">
      <c r="A313" s="56"/>
      <c r="B313" s="25" t="s">
        <v>45</v>
      </c>
      <c r="C313" s="25" t="s">
        <v>24</v>
      </c>
      <c r="D313" s="16"/>
      <c r="E313" s="16"/>
      <c r="F313" s="16"/>
      <c r="G313" s="14"/>
      <c r="H313" s="30">
        <f aca="true" t="shared" si="84" ref="H313:T313">H310+H307+H293</f>
        <v>6086300</v>
      </c>
      <c r="I313" s="30">
        <f t="shared" si="84"/>
        <v>368150</v>
      </c>
      <c r="J313" s="30">
        <f t="shared" si="84"/>
        <v>499850</v>
      </c>
      <c r="K313" s="30">
        <f t="shared" si="84"/>
        <v>495450</v>
      </c>
      <c r="L313" s="30">
        <f t="shared" si="84"/>
        <v>496662.2</v>
      </c>
      <c r="M313" s="30">
        <f t="shared" si="84"/>
        <v>502879.35</v>
      </c>
      <c r="N313" s="30">
        <f t="shared" si="84"/>
        <v>472200</v>
      </c>
      <c r="O313" s="30">
        <f t="shared" si="84"/>
        <v>629373.29</v>
      </c>
      <c r="P313" s="30">
        <f t="shared" si="84"/>
        <v>451731.21</v>
      </c>
      <c r="Q313" s="30">
        <f t="shared" si="84"/>
        <v>529051.96</v>
      </c>
      <c r="R313" s="30">
        <f t="shared" si="84"/>
        <v>575599.62</v>
      </c>
      <c r="S313" s="30">
        <f t="shared" si="84"/>
        <v>515577</v>
      </c>
      <c r="T313" s="30">
        <f t="shared" si="84"/>
        <v>549775.3700000001</v>
      </c>
      <c r="U313" s="97"/>
      <c r="V313" s="97">
        <f>V310+V307+V293</f>
        <v>6086300</v>
      </c>
    </row>
    <row r="314" spans="1:22" ht="12.75">
      <c r="A314" s="56"/>
      <c r="B314" s="25"/>
      <c r="C314" s="26"/>
      <c r="D314" s="16"/>
      <c r="E314" s="16"/>
      <c r="F314" s="16"/>
      <c r="G314" s="14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102"/>
      <c r="V314" s="15">
        <f>SUM(I314:T314)</f>
        <v>0</v>
      </c>
    </row>
    <row r="315" spans="1:22" ht="25.5" hidden="1">
      <c r="A315" s="56" t="s">
        <v>37</v>
      </c>
      <c r="B315" s="90" t="s">
        <v>76</v>
      </c>
      <c r="C315" s="36" t="s">
        <v>77</v>
      </c>
      <c r="D315" s="36">
        <v>9510010520</v>
      </c>
      <c r="E315" s="36"/>
      <c r="F315" s="36"/>
      <c r="G315" s="13"/>
      <c r="H315" s="13">
        <f aca="true" t="shared" si="85" ref="H315:T315">H316</f>
        <v>0</v>
      </c>
      <c r="I315" s="13">
        <f t="shared" si="85"/>
        <v>0</v>
      </c>
      <c r="J315" s="13">
        <f t="shared" si="85"/>
        <v>0</v>
      </c>
      <c r="K315" s="13">
        <f t="shared" si="85"/>
        <v>0</v>
      </c>
      <c r="L315" s="13">
        <f t="shared" si="85"/>
        <v>0</v>
      </c>
      <c r="M315" s="13">
        <f t="shared" si="85"/>
        <v>0</v>
      </c>
      <c r="N315" s="13">
        <f t="shared" si="85"/>
        <v>0</v>
      </c>
      <c r="O315" s="13">
        <f t="shared" si="85"/>
        <v>0</v>
      </c>
      <c r="P315" s="13">
        <f t="shared" si="85"/>
        <v>0</v>
      </c>
      <c r="Q315" s="13">
        <f t="shared" si="85"/>
        <v>0</v>
      </c>
      <c r="R315" s="13">
        <f t="shared" si="85"/>
        <v>0</v>
      </c>
      <c r="S315" s="13">
        <f t="shared" si="85"/>
        <v>0</v>
      </c>
      <c r="T315" s="13">
        <f t="shared" si="85"/>
        <v>0</v>
      </c>
      <c r="U315" s="101"/>
      <c r="V315" s="15">
        <f>SUM(I315:T315)</f>
        <v>0</v>
      </c>
    </row>
    <row r="316" spans="1:22" ht="38.25" hidden="1">
      <c r="A316" s="56" t="s">
        <v>37</v>
      </c>
      <c r="B316" s="23" t="s">
        <v>14</v>
      </c>
      <c r="C316" s="28" t="s">
        <v>77</v>
      </c>
      <c r="D316" s="16">
        <v>9510010520</v>
      </c>
      <c r="E316" s="16">
        <v>870</v>
      </c>
      <c r="F316" s="16">
        <v>290</v>
      </c>
      <c r="G316" s="71" t="s">
        <v>78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00"/>
      <c r="V316" s="15">
        <f>SUM(I316:T316)</f>
        <v>0</v>
      </c>
    </row>
    <row r="317" spans="1:22" ht="12.75">
      <c r="A317" s="66"/>
      <c r="B317" s="92" t="s">
        <v>74</v>
      </c>
      <c r="C317" s="72"/>
      <c r="D317" s="45"/>
      <c r="E317" s="45"/>
      <c r="F317" s="45"/>
      <c r="G317" s="49"/>
      <c r="H317" s="42">
        <f aca="true" t="shared" si="86" ref="H317:T317">H313</f>
        <v>6086300</v>
      </c>
      <c r="I317" s="42">
        <f t="shared" si="86"/>
        <v>368150</v>
      </c>
      <c r="J317" s="42">
        <f t="shared" si="86"/>
        <v>499850</v>
      </c>
      <c r="K317" s="42">
        <f t="shared" si="86"/>
        <v>495450</v>
      </c>
      <c r="L317" s="42">
        <f t="shared" si="86"/>
        <v>496662.2</v>
      </c>
      <c r="M317" s="42">
        <f t="shared" si="86"/>
        <v>502879.35</v>
      </c>
      <c r="N317" s="42">
        <f t="shared" si="86"/>
        <v>472200</v>
      </c>
      <c r="O317" s="42">
        <f t="shared" si="86"/>
        <v>629373.29</v>
      </c>
      <c r="P317" s="42">
        <f t="shared" si="86"/>
        <v>451731.21</v>
      </c>
      <c r="Q317" s="42">
        <f t="shared" si="86"/>
        <v>529051.96</v>
      </c>
      <c r="R317" s="42">
        <f t="shared" si="86"/>
        <v>575599.62</v>
      </c>
      <c r="S317" s="42">
        <f t="shared" si="86"/>
        <v>515577</v>
      </c>
      <c r="T317" s="42">
        <f t="shared" si="86"/>
        <v>549775.3700000001</v>
      </c>
      <c r="U317" s="104"/>
      <c r="V317" s="50">
        <f>V313</f>
        <v>6086300</v>
      </c>
    </row>
    <row r="318" spans="1:22" ht="12.75">
      <c r="A318" s="60"/>
      <c r="B318" s="43"/>
      <c r="C318" s="61"/>
      <c r="D318" s="10"/>
      <c r="E318" s="10"/>
      <c r="F318" s="10"/>
      <c r="G318" s="14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104"/>
      <c r="V318" s="50"/>
    </row>
    <row r="319" spans="1:22" ht="25.5" hidden="1">
      <c r="A319" s="62" t="s">
        <v>87</v>
      </c>
      <c r="B319" s="90" t="s">
        <v>95</v>
      </c>
      <c r="C319" s="37" t="s">
        <v>77</v>
      </c>
      <c r="D319" s="37">
        <v>8800000000</v>
      </c>
      <c r="E319" s="41"/>
      <c r="F319" s="41"/>
      <c r="G319" s="24"/>
      <c r="H319" s="13">
        <f aca="true" t="shared" si="87" ref="H319:T319">H320</f>
        <v>0</v>
      </c>
      <c r="I319" s="13">
        <f t="shared" si="87"/>
        <v>0</v>
      </c>
      <c r="J319" s="13">
        <f t="shared" si="87"/>
        <v>0</v>
      </c>
      <c r="K319" s="13">
        <f t="shared" si="87"/>
        <v>0</v>
      </c>
      <c r="L319" s="13">
        <f t="shared" si="87"/>
        <v>0</v>
      </c>
      <c r="M319" s="13">
        <f t="shared" si="87"/>
        <v>0</v>
      </c>
      <c r="N319" s="13">
        <f t="shared" si="87"/>
        <v>0</v>
      </c>
      <c r="O319" s="13">
        <f t="shared" si="87"/>
        <v>0</v>
      </c>
      <c r="P319" s="13">
        <f t="shared" si="87"/>
        <v>0</v>
      </c>
      <c r="Q319" s="13">
        <f t="shared" si="87"/>
        <v>0</v>
      </c>
      <c r="R319" s="13">
        <f t="shared" si="87"/>
        <v>0</v>
      </c>
      <c r="S319" s="13">
        <f t="shared" si="87"/>
        <v>0</v>
      </c>
      <c r="T319" s="13">
        <f t="shared" si="87"/>
        <v>0</v>
      </c>
      <c r="U319" s="101"/>
      <c r="V319" s="15">
        <f>SUM(I319:T319)</f>
        <v>0</v>
      </c>
    </row>
    <row r="320" spans="1:22" ht="25.5" hidden="1">
      <c r="A320" s="60" t="s">
        <v>87</v>
      </c>
      <c r="B320" s="48" t="s">
        <v>95</v>
      </c>
      <c r="C320" s="10" t="s">
        <v>77</v>
      </c>
      <c r="D320" s="78" t="s">
        <v>149</v>
      </c>
      <c r="E320" s="10">
        <v>730</v>
      </c>
      <c r="F320" s="10">
        <v>290</v>
      </c>
      <c r="G320" s="14"/>
      <c r="H320" s="14">
        <v>0</v>
      </c>
      <c r="I320" s="73">
        <v>0</v>
      </c>
      <c r="J320" s="73">
        <v>0</v>
      </c>
      <c r="K320" s="73">
        <v>0</v>
      </c>
      <c r="L320" s="73">
        <v>0</v>
      </c>
      <c r="M320" s="73">
        <v>0</v>
      </c>
      <c r="N320" s="73">
        <v>0</v>
      </c>
      <c r="O320" s="73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00"/>
      <c r="V320" s="15">
        <f>SUM(I320:T320)</f>
        <v>0</v>
      </c>
    </row>
    <row r="321" spans="1:22" ht="12.75" hidden="1">
      <c r="A321" s="60"/>
      <c r="B321" s="43"/>
      <c r="C321" s="61"/>
      <c r="D321" s="10"/>
      <c r="E321" s="10"/>
      <c r="F321" s="10"/>
      <c r="G321" s="14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104"/>
      <c r="V321" s="15"/>
    </row>
    <row r="322" spans="1:22" ht="12.75" hidden="1">
      <c r="A322" s="66"/>
      <c r="B322" s="92" t="s">
        <v>96</v>
      </c>
      <c r="C322" s="72"/>
      <c r="D322" s="45"/>
      <c r="E322" s="45"/>
      <c r="F322" s="45"/>
      <c r="G322" s="49"/>
      <c r="H322" s="42">
        <f aca="true" t="shared" si="88" ref="H322:T322">H319</f>
        <v>0</v>
      </c>
      <c r="I322" s="42">
        <f t="shared" si="88"/>
        <v>0</v>
      </c>
      <c r="J322" s="42">
        <f t="shared" si="88"/>
        <v>0</v>
      </c>
      <c r="K322" s="42">
        <f t="shared" si="88"/>
        <v>0</v>
      </c>
      <c r="L322" s="42">
        <f t="shared" si="88"/>
        <v>0</v>
      </c>
      <c r="M322" s="42">
        <f t="shared" si="88"/>
        <v>0</v>
      </c>
      <c r="N322" s="42">
        <f t="shared" si="88"/>
        <v>0</v>
      </c>
      <c r="O322" s="42">
        <f t="shared" si="88"/>
        <v>0</v>
      </c>
      <c r="P322" s="42">
        <f t="shared" si="88"/>
        <v>0</v>
      </c>
      <c r="Q322" s="42">
        <f t="shared" si="88"/>
        <v>0</v>
      </c>
      <c r="R322" s="42">
        <f t="shared" si="88"/>
        <v>0</v>
      </c>
      <c r="S322" s="42">
        <f t="shared" si="88"/>
        <v>0</v>
      </c>
      <c r="T322" s="42">
        <f t="shared" si="88"/>
        <v>0</v>
      </c>
      <c r="U322" s="104"/>
      <c r="V322" s="54">
        <f>V319</f>
        <v>0</v>
      </c>
    </row>
    <row r="323" spans="1:22" ht="12.75">
      <c r="A323" s="56"/>
      <c r="B323" s="25"/>
      <c r="C323" s="25"/>
      <c r="D323" s="10"/>
      <c r="E323" s="10"/>
      <c r="F323" s="10"/>
      <c r="G323" s="14"/>
      <c r="H323" s="30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00"/>
      <c r="V323" s="52"/>
    </row>
    <row r="324" spans="1:22" ht="12.75">
      <c r="A324" s="56"/>
      <c r="B324" s="23"/>
      <c r="C324" s="10"/>
      <c r="D324" s="10"/>
      <c r="E324" s="10"/>
      <c r="F324" s="10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00"/>
      <c r="V324" s="52"/>
    </row>
    <row r="325" spans="1:22" ht="12.75">
      <c r="A325" s="136" t="s">
        <v>86</v>
      </c>
      <c r="B325" s="136"/>
      <c r="C325" s="136"/>
      <c r="D325" s="136"/>
      <c r="E325" s="136"/>
      <c r="F325" s="136"/>
      <c r="G325" s="136"/>
      <c r="H325" s="53">
        <f aca="true" t="shared" si="89" ref="H325:T325">H105+H113+H130+H158+H213+H225+H277+H289+H317+H315+H322</f>
        <v>79592861.33</v>
      </c>
      <c r="I325" s="53">
        <f t="shared" si="89"/>
        <v>3021635.3200000003</v>
      </c>
      <c r="J325" s="53">
        <f t="shared" si="89"/>
        <v>5427819.8</v>
      </c>
      <c r="K325" s="53">
        <f t="shared" si="89"/>
        <v>5337415.17</v>
      </c>
      <c r="L325" s="53">
        <f t="shared" si="89"/>
        <v>7693691.750000001</v>
      </c>
      <c r="M325" s="53">
        <f t="shared" si="89"/>
        <v>5461905.579999999</v>
      </c>
      <c r="N325" s="53">
        <f t="shared" si="89"/>
        <v>14381474.739999998</v>
      </c>
      <c r="O325" s="53">
        <f t="shared" si="89"/>
        <v>6555250.33</v>
      </c>
      <c r="P325" s="53">
        <f t="shared" si="89"/>
        <v>5793134.13</v>
      </c>
      <c r="Q325" s="53">
        <f t="shared" si="89"/>
        <v>6503163.5200000005</v>
      </c>
      <c r="R325" s="53">
        <f t="shared" si="89"/>
        <v>6230083.38</v>
      </c>
      <c r="S325" s="53">
        <f t="shared" si="89"/>
        <v>6442872.11</v>
      </c>
      <c r="T325" s="53">
        <f t="shared" si="89"/>
        <v>6744415.330000001</v>
      </c>
      <c r="U325" s="104"/>
      <c r="V325" s="108">
        <f>V105+V113+V130+V158+V213+V225+V277+V289+V317+V315+V322</f>
        <v>79592861.16</v>
      </c>
    </row>
    <row r="326" spans="1:22" ht="27.75" customHeight="1">
      <c r="A326" s="136" t="s">
        <v>89</v>
      </c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05"/>
      <c r="V326" s="52"/>
    </row>
    <row r="327" spans="1:22" ht="57" customHeight="1">
      <c r="A327" s="65"/>
      <c r="B327" s="56"/>
      <c r="C327" s="138" t="s">
        <v>91</v>
      </c>
      <c r="D327" s="138"/>
      <c r="E327" s="138"/>
      <c r="F327" s="138"/>
      <c r="G327" s="56"/>
      <c r="H327" s="57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105"/>
      <c r="V327" s="15"/>
    </row>
    <row r="328" spans="1:22" ht="12.75">
      <c r="A328" s="56"/>
      <c r="B328" s="74"/>
      <c r="C328" s="139"/>
      <c r="D328" s="139"/>
      <c r="E328" s="139"/>
      <c r="F328" s="139"/>
      <c r="G328" s="74"/>
      <c r="H328" s="53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104"/>
      <c r="V328" s="15"/>
    </row>
    <row r="329" spans="1:22" ht="83.25" customHeight="1">
      <c r="A329" s="56" t="s">
        <v>87</v>
      </c>
      <c r="B329" s="48" t="s">
        <v>190</v>
      </c>
      <c r="C329" s="137" t="s">
        <v>92</v>
      </c>
      <c r="D329" s="137"/>
      <c r="E329" s="137"/>
      <c r="F329" s="137"/>
      <c r="G329" s="74"/>
      <c r="H329" s="13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17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00"/>
      <c r="V329" s="15"/>
    </row>
    <row r="330" spans="1:22" ht="84" customHeight="1">
      <c r="A330" s="56" t="s">
        <v>87</v>
      </c>
      <c r="B330" s="48" t="s">
        <v>191</v>
      </c>
      <c r="C330" s="137" t="s">
        <v>93</v>
      </c>
      <c r="D330" s="137"/>
      <c r="E330" s="137"/>
      <c r="F330" s="137"/>
      <c r="G330" s="74"/>
      <c r="H330" s="13">
        <f>N330</f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17">
        <v>0</v>
      </c>
      <c r="S330" s="14">
        <v>0</v>
      </c>
      <c r="T330" s="14">
        <v>0</v>
      </c>
      <c r="U330" s="100"/>
      <c r="V330" s="15"/>
    </row>
    <row r="331" spans="1:22" ht="12.75">
      <c r="A331" s="56"/>
      <c r="B331" s="74"/>
      <c r="C331" s="139"/>
      <c r="D331" s="139"/>
      <c r="E331" s="139"/>
      <c r="F331" s="139"/>
      <c r="G331" s="7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101"/>
      <c r="V331" s="15"/>
    </row>
    <row r="332" spans="1:22" ht="12.75">
      <c r="A332" s="133" t="s">
        <v>90</v>
      </c>
      <c r="B332" s="133"/>
      <c r="C332" s="133"/>
      <c r="D332" s="133"/>
      <c r="E332" s="133"/>
      <c r="F332" s="133"/>
      <c r="G332" s="74"/>
      <c r="H332" s="53">
        <f aca="true" t="shared" si="90" ref="H332:T332">H329-H330</f>
        <v>0</v>
      </c>
      <c r="I332" s="53">
        <f t="shared" si="90"/>
        <v>0</v>
      </c>
      <c r="J332" s="53">
        <f t="shared" si="90"/>
        <v>0</v>
      </c>
      <c r="K332" s="53">
        <f t="shared" si="90"/>
        <v>0</v>
      </c>
      <c r="L332" s="53">
        <f t="shared" si="90"/>
        <v>0</v>
      </c>
      <c r="M332" s="53">
        <f t="shared" si="90"/>
        <v>0</v>
      </c>
      <c r="N332" s="53">
        <f t="shared" si="90"/>
        <v>0</v>
      </c>
      <c r="O332" s="53">
        <f t="shared" si="90"/>
        <v>0</v>
      </c>
      <c r="P332" s="53">
        <f t="shared" si="90"/>
        <v>0</v>
      </c>
      <c r="Q332" s="53">
        <f t="shared" si="90"/>
        <v>0</v>
      </c>
      <c r="R332" s="53">
        <f t="shared" si="90"/>
        <v>0</v>
      </c>
      <c r="S332" s="53">
        <f t="shared" si="90"/>
        <v>0</v>
      </c>
      <c r="T332" s="53">
        <f t="shared" si="90"/>
        <v>0</v>
      </c>
      <c r="U332" s="104"/>
      <c r="V332" s="15"/>
    </row>
    <row r="333" spans="1:22" ht="12" customHeight="1">
      <c r="A333" s="75"/>
      <c r="B333" s="76"/>
      <c r="C333" s="76"/>
      <c r="D333" s="76"/>
      <c r="E333" s="76"/>
      <c r="F333" s="76"/>
      <c r="G333" s="76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15"/>
    </row>
    <row r="334" spans="1:22" ht="12" customHeight="1">
      <c r="A334" s="4"/>
      <c r="B334" s="6"/>
      <c r="C334" s="6"/>
      <c r="D334" s="6"/>
      <c r="E334" s="6"/>
      <c r="F334" s="6"/>
      <c r="G334" s="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2"/>
    </row>
    <row r="335" spans="1:22" ht="12" customHeight="1">
      <c r="A335" s="4"/>
      <c r="B335" s="6"/>
      <c r="C335" s="6"/>
      <c r="D335" s="6"/>
      <c r="E335" s="6"/>
      <c r="F335" s="6"/>
      <c r="G335" s="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2"/>
    </row>
    <row r="336" spans="1:22" ht="12" customHeight="1">
      <c r="A336" s="134" t="s">
        <v>81</v>
      </c>
      <c r="B336" s="134"/>
      <c r="C336" s="134"/>
      <c r="D336" s="134"/>
      <c r="E336" s="134"/>
      <c r="F336" s="134"/>
      <c r="G336" s="134"/>
      <c r="H336" s="9"/>
      <c r="I336" s="9"/>
      <c r="J336" s="9"/>
      <c r="K336" s="9" t="s">
        <v>82</v>
      </c>
      <c r="L336" s="19"/>
      <c r="M336" s="5"/>
      <c r="N336" s="5"/>
      <c r="O336" s="5"/>
      <c r="P336" s="5"/>
      <c r="Q336" s="5"/>
      <c r="R336" s="5"/>
      <c r="S336" s="5"/>
      <c r="T336" s="5"/>
      <c r="U336" s="5"/>
      <c r="V336" s="2"/>
    </row>
    <row r="337" spans="1:22" ht="12" customHeight="1">
      <c r="A337" s="20"/>
      <c r="B337" s="21"/>
      <c r="C337" s="21"/>
      <c r="D337" s="21"/>
      <c r="E337" s="21"/>
      <c r="F337" s="21"/>
      <c r="G337" s="21"/>
      <c r="H337" s="19"/>
      <c r="I337" s="19"/>
      <c r="J337" s="19"/>
      <c r="K337" s="19"/>
      <c r="L337" s="19"/>
      <c r="M337" s="5"/>
      <c r="N337" s="5"/>
      <c r="O337" s="5"/>
      <c r="P337" s="5"/>
      <c r="Q337" s="5"/>
      <c r="R337" s="5"/>
      <c r="S337" s="5"/>
      <c r="T337" s="5"/>
      <c r="U337" s="5"/>
      <c r="V337" s="2"/>
    </row>
    <row r="338" spans="1:22" ht="12" customHeight="1">
      <c r="A338" s="20"/>
      <c r="B338" s="21"/>
      <c r="C338" s="21"/>
      <c r="D338" s="21"/>
      <c r="E338" s="21"/>
      <c r="F338" s="21"/>
      <c r="G338" s="21"/>
      <c r="H338" s="19"/>
      <c r="I338" s="19"/>
      <c r="J338" s="19"/>
      <c r="K338" s="19"/>
      <c r="L338" s="19"/>
      <c r="M338" s="5"/>
      <c r="N338" s="5"/>
      <c r="O338" s="5"/>
      <c r="P338" s="5"/>
      <c r="Q338" s="5"/>
      <c r="R338" s="5"/>
      <c r="S338" s="5"/>
      <c r="T338" s="5"/>
      <c r="U338" s="5"/>
      <c r="V338" s="2"/>
    </row>
    <row r="339" spans="1:12" ht="12.75">
      <c r="A339" s="17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ht="12.75">
      <c r="A340" s="17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ht="12.75">
      <c r="A341" s="134" t="s">
        <v>230</v>
      </c>
      <c r="B341" s="134"/>
      <c r="C341" s="134"/>
      <c r="D341" s="134"/>
      <c r="E341" s="9"/>
      <c r="F341" s="9"/>
      <c r="G341" s="9"/>
      <c r="H341" s="9"/>
      <c r="I341" s="9"/>
      <c r="J341" s="9"/>
      <c r="K341" s="9"/>
      <c r="L341" s="9"/>
    </row>
    <row r="342" spans="1:12" ht="12.75">
      <c r="A342" s="134" t="s">
        <v>84</v>
      </c>
      <c r="B342" s="134"/>
      <c r="C342" s="134"/>
      <c r="D342" s="134"/>
      <c r="E342" s="134"/>
      <c r="F342" s="134"/>
      <c r="G342" s="134"/>
      <c r="H342" s="9"/>
      <c r="I342" s="9"/>
      <c r="J342" s="9"/>
      <c r="K342" s="9" t="s">
        <v>231</v>
      </c>
      <c r="L342" s="9"/>
    </row>
    <row r="343" spans="1:12" ht="12.75">
      <c r="A343" s="17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17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ht="12.75">
      <c r="A345" s="17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ht="12.75">
      <c r="A346" s="17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</sheetData>
  <sheetProtection/>
  <mergeCells count="35">
    <mergeCell ref="A2:T2"/>
    <mergeCell ref="A3:T3"/>
    <mergeCell ref="A4:T4"/>
    <mergeCell ref="A5:T5"/>
    <mergeCell ref="A6:A8"/>
    <mergeCell ref="B6:B8"/>
    <mergeCell ref="S7:S8"/>
    <mergeCell ref="T7:T8"/>
    <mergeCell ref="H7:H8"/>
    <mergeCell ref="I7:I8"/>
    <mergeCell ref="N7:N8"/>
    <mergeCell ref="O7:O8"/>
    <mergeCell ref="J7:J8"/>
    <mergeCell ref="K7:K8"/>
    <mergeCell ref="L7:L8"/>
    <mergeCell ref="M7:M8"/>
    <mergeCell ref="G255:G256"/>
    <mergeCell ref="C6:G7"/>
    <mergeCell ref="H6:T6"/>
    <mergeCell ref="P7:P8"/>
    <mergeCell ref="Q7:Q8"/>
    <mergeCell ref="R7:R8"/>
    <mergeCell ref="A342:G342"/>
    <mergeCell ref="C329:F329"/>
    <mergeCell ref="C330:F330"/>
    <mergeCell ref="C331:F331"/>
    <mergeCell ref="A332:F332"/>
    <mergeCell ref="G253:G254"/>
    <mergeCell ref="A336:G336"/>
    <mergeCell ref="A341:D341"/>
    <mergeCell ref="G257:G258"/>
    <mergeCell ref="A325:G325"/>
    <mergeCell ref="A326:T326"/>
    <mergeCell ref="C327:F327"/>
    <mergeCell ref="C328:F328"/>
  </mergeCells>
  <printOptions/>
  <pageMargins left="0.48" right="0.16" top="0.23" bottom="0.22" header="0.2" footer="0.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2023-04-06T13:17:08Z</cp:lastPrinted>
  <dcterms:created xsi:type="dcterms:W3CDTF">1996-10-08T23:32:33Z</dcterms:created>
  <dcterms:modified xsi:type="dcterms:W3CDTF">2023-04-11T12:19:13Z</dcterms:modified>
  <cp:category/>
  <cp:version/>
  <cp:contentType/>
  <cp:contentStatus/>
</cp:coreProperties>
</file>